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8190" tabRatio="431" activeTab="0"/>
  </bookViews>
  <sheets>
    <sheet name="Lisez moi" sheetId="1" r:id="rId1"/>
    <sheet name="TRNO" sheetId="2" r:id="rId2"/>
    <sheet name="TRSU" sheetId="3" r:id="rId3"/>
    <sheet name="TREX" sheetId="4" r:id="rId4"/>
  </sheets>
  <definedNames>
    <definedName name="_xlnm.Print_Area" localSheetId="3">'TREX'!$A$1:$M$10</definedName>
    <definedName name="_xlnm.Print_Area" localSheetId="1">'TRNO'!$A$1:$M$16</definedName>
    <definedName name="_xlnm.Print_Area" localSheetId="2">'TRSU'!$A$1:$M$11</definedName>
  </definedNames>
  <calcPr fullCalcOnLoad="1"/>
</workbook>
</file>

<file path=xl/sharedStrings.xml><?xml version="1.0" encoding="utf-8"?>
<sst xmlns="http://schemas.openxmlformats.org/spreadsheetml/2006/main" count="176" uniqueCount="112">
  <si>
    <t>Cet outil est destiné à vous indiquer dans quel échelon et avec quelle ancienneté, vous serez intégré dans le corps des TR-NES</t>
  </si>
  <si>
    <t>Merci de signaler à cgtinra@versailles.inra.fr  les difficultés rencontrées</t>
  </si>
  <si>
    <t>Modifiez la date d'intégration, si besoin est</t>
  </si>
  <si>
    <t>Vous êtes TRSU</t>
  </si>
  <si>
    <t>Vous serez intégré en TRSU-NES</t>
  </si>
  <si>
    <t>Ech</t>
  </si>
  <si>
    <t>INM</t>
  </si>
  <si>
    <t>Date à laquelle vous êtes entré-e dans l'échelon JJ/MM/AAAA</t>
  </si>
  <si>
    <t>Date à laquelle vous deviez sortir de l'échelon</t>
  </si>
  <si>
    <t xml:space="preserve">Date de sortie de l'échelon </t>
  </si>
  <si>
    <t>SU01</t>
  </si>
  <si>
    <t>SU02</t>
  </si>
  <si>
    <t>SU03</t>
  </si>
  <si>
    <t>SU04</t>
  </si>
  <si>
    <t>SU05</t>
  </si>
  <si>
    <t>SU06</t>
  </si>
  <si>
    <t>SU07</t>
  </si>
  <si>
    <t>SU08</t>
  </si>
  <si>
    <t>-</t>
  </si>
  <si>
    <t>su01</t>
  </si>
  <si>
    <t>NS06</t>
  </si>
  <si>
    <t>su02</t>
  </si>
  <si>
    <t>NS07</t>
  </si>
  <si>
    <t>su03</t>
  </si>
  <si>
    <t>NS08</t>
  </si>
  <si>
    <t>su04</t>
  </si>
  <si>
    <t>NS09</t>
  </si>
  <si>
    <t>su05</t>
  </si>
  <si>
    <t xml:space="preserve"> </t>
  </si>
  <si>
    <t>NS10</t>
  </si>
  <si>
    <t>su06</t>
  </si>
  <si>
    <t>NS11</t>
  </si>
  <si>
    <t>su07</t>
  </si>
  <si>
    <t>NS12</t>
  </si>
  <si>
    <t>su08</t>
  </si>
  <si>
    <t>NS13</t>
  </si>
  <si>
    <t>Vous êtes TREX</t>
  </si>
  <si>
    <t>Vous serez intégré en TREX-NES</t>
  </si>
  <si>
    <t>EX01</t>
  </si>
  <si>
    <t>EX02</t>
  </si>
  <si>
    <t>EX03</t>
  </si>
  <si>
    <t>EX04</t>
  </si>
  <si>
    <t>EX05</t>
  </si>
  <si>
    <t>EX06</t>
  </si>
  <si>
    <t>EX07</t>
  </si>
  <si>
    <t>Cette ancienneté acquise est</t>
  </si>
  <si>
    <t>Erronée</t>
  </si>
  <si>
    <t>Validée</t>
  </si>
  <si>
    <t>NX03</t>
  </si>
  <si>
    <t>NX04</t>
  </si>
  <si>
    <t>NX05</t>
  </si>
  <si>
    <t>NX06</t>
  </si>
  <si>
    <t>NX07</t>
  </si>
  <si>
    <t>NX08</t>
  </si>
  <si>
    <t>NX09</t>
  </si>
  <si>
    <t>NX10</t>
  </si>
  <si>
    <t>NX11</t>
  </si>
  <si>
    <t>Vous êtes TRNO</t>
  </si>
  <si>
    <t>Vous serez intégré en TRNO-NES</t>
  </si>
  <si>
    <t>NO01</t>
  </si>
  <si>
    <t>NO02</t>
  </si>
  <si>
    <t>NO03</t>
  </si>
  <si>
    <t>NO04</t>
  </si>
  <si>
    <t>NO05</t>
  </si>
  <si>
    <t>NO06</t>
  </si>
  <si>
    <t>NO07</t>
  </si>
  <si>
    <t>NO08</t>
  </si>
  <si>
    <t>NO09</t>
  </si>
  <si>
    <t>NO10</t>
  </si>
  <si>
    <t>NO11</t>
  </si>
  <si>
    <t>NO12</t>
  </si>
  <si>
    <t>NO13</t>
  </si>
  <si>
    <t>NE01</t>
  </si>
  <si>
    <t>NE02</t>
  </si>
  <si>
    <t>NE03</t>
  </si>
  <si>
    <t>NE04</t>
  </si>
  <si>
    <t>NE05</t>
  </si>
  <si>
    <t>NE06</t>
  </si>
  <si>
    <t>NE07</t>
  </si>
  <si>
    <t>NE08</t>
  </si>
  <si>
    <t>NE09</t>
  </si>
  <si>
    <t>NE10</t>
  </si>
  <si>
    <t>NE11</t>
  </si>
  <si>
    <t>NE12</t>
  </si>
  <si>
    <t>NE13</t>
  </si>
  <si>
    <t>Impossible</t>
  </si>
  <si>
    <t>Durée normale de l'échelon (mois)</t>
  </si>
  <si>
    <t>Vous y avez acquis une ancienneté de (mois)</t>
  </si>
  <si>
    <t>Durée moyenne de l'échelon (mois)</t>
  </si>
  <si>
    <t>Ancienneté reprise (mois)</t>
  </si>
  <si>
    <t>Vous y demeurerez (mois)</t>
  </si>
  <si>
    <t>Intégration des TR en TR-NES  *</t>
  </si>
  <si>
    <t>* Outil élaboré par la CGT-INRA sur la base des documents en sa possession, en particulier le texte du décret appliquant aux agents du corps des TR le décret 2009-1388</t>
  </si>
  <si>
    <t>1. Cliquez sur l'onglet de votre Grade</t>
  </si>
  <si>
    <t>3. Composez-y,  au format JJ/MM/AAAA, la date de votre entrée dans cet échelon.</t>
  </si>
  <si>
    <t>2. En colonne D, sélectionnez la ligne correspondant à l'échelon auquel vous appartenez et indiqué en colonne A</t>
  </si>
  <si>
    <t>- Colonnes A, B et C, l'échelon que vous occupez, l'INM attaché à cet échelon et la durée normale de séjour dans cet échelon</t>
  </si>
  <si>
    <t>- Colonne D, la date que vous avez composée</t>
  </si>
  <si>
    <t>- Colonne E, l'ancienneté que vous y avez acquise à la date d'intégration indiquée dans la cellule F1</t>
  </si>
  <si>
    <t>- Colonne F, si cette ancienneté est compatible avec les caractéristiques de l'échelon</t>
  </si>
  <si>
    <t>- Colonne G, la date à laquelle vous auriez quitté l'échelon compte tenu de la date d'entrée (colonne D) et de la durée normale (colonne C)</t>
  </si>
  <si>
    <r>
      <t>5. Concernant votre situation dans le</t>
    </r>
    <r>
      <rPr>
        <b/>
        <sz val="12"/>
        <rFont val="Arial"/>
        <family val="2"/>
      </rPr>
      <t xml:space="preserve"> corps des TR-NES</t>
    </r>
    <r>
      <rPr>
        <sz val="12"/>
        <rFont val="Arial"/>
        <family val="2"/>
      </rPr>
      <t xml:space="preserve">, le système affiche, en rouge : </t>
    </r>
  </si>
  <si>
    <r>
      <t xml:space="preserve">4. Concernant votre situation dans le </t>
    </r>
    <r>
      <rPr>
        <b/>
        <sz val="12"/>
        <rFont val="Arial"/>
        <family val="2"/>
      </rPr>
      <t>corps actuel des TR</t>
    </r>
    <r>
      <rPr>
        <sz val="12"/>
        <rFont val="Arial"/>
        <family val="2"/>
      </rPr>
      <t>, le système affiche, en bleu :</t>
    </r>
  </si>
  <si>
    <t>- Colonne H, l'échelon dans le grade correspondant du corps TR-NES</t>
  </si>
  <si>
    <t>- Colonne I, l'INM attaché à cet échelon</t>
  </si>
  <si>
    <t>- Colonne J, la durée moyenne de séjour dans cet échelon</t>
  </si>
  <si>
    <t>- Colonne K, l’ancienneté dans le nouvel échelon, reprise de l'ancienneté acquise selon les règles fixées par l'article 31 du décret 2011-XXXX</t>
  </si>
  <si>
    <t>- Colonne L, la durée pendant laquelle vous allez demeurer dans ce nouvel échelon **</t>
  </si>
  <si>
    <t xml:space="preserve">- Colonne M, la date à laquelle vous sortirez de ce nouvel échelon ** </t>
  </si>
  <si>
    <t>** Ces indications sont déterminées sans prendre en compte un avancement accéléré d'échelon dont vous pourriez bénéficier</t>
  </si>
  <si>
    <t>Outil élaboré par la CGT-INRA cgtinra@versailles.inra.fr</t>
  </si>
  <si>
    <t>Outil élaboré par la CGT-INRA   cgtinra@versailles.inra.fr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</si>
</sst>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$-40C]dddd\ d\ mmmm\ yyyy"/>
    <numFmt numFmtId="166" formatCode="mmm\-yyyy"/>
    <numFmt numFmtId="167" formatCode="0.0"/>
    <numFmt numFmtId="168" formatCode="&quot;Vrai&quot;;&quot;Vrai&quot;;&quot;Faux&quot;"/>
    <numFmt numFmtId="169" formatCode="&quot;Actif&quot;;&quot;Actif&quot;;&quot;Inactif&quot;"/>
  </numFmts>
  <fonts count="10"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2" fontId="4" fillId="2" borderId="3" xfId="0" applyNumberFormat="1" applyFont="1" applyFill="1" applyBorder="1" applyAlignment="1" applyProtection="1">
      <alignment horizontal="center" vertical="center" wrapText="1"/>
      <protection/>
    </xf>
    <xf numFmtId="14" fontId="4" fillId="2" borderId="4" xfId="0" applyNumberFormat="1" applyFont="1" applyFill="1" applyBorder="1" applyAlignment="1" applyProtection="1">
      <alignment horizontal="center" vertical="center" wrapText="1"/>
      <protection/>
    </xf>
    <xf numFmtId="2" fontId="5" fillId="2" borderId="2" xfId="0" applyNumberFormat="1" applyFont="1" applyFill="1" applyBorder="1" applyAlignment="1" applyProtection="1">
      <alignment horizontal="center" vertical="center" wrapText="1"/>
      <protection/>
    </xf>
    <xf numFmtId="1" fontId="5" fillId="2" borderId="3" xfId="0" applyNumberFormat="1" applyFont="1" applyFill="1" applyBorder="1" applyAlignment="1" applyProtection="1">
      <alignment horizontal="center" vertical="center" wrapText="1"/>
      <protection/>
    </xf>
    <xf numFmtId="14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14" fontId="4" fillId="0" borderId="6" xfId="0" applyNumberFormat="1" applyFont="1" applyFill="1" applyBorder="1" applyAlignment="1" applyProtection="1">
      <alignment horizontal="center" vertical="center" wrapText="1"/>
      <protection/>
    </xf>
    <xf numFmtId="2" fontId="5" fillId="0" borderId="5" xfId="0" applyNumberFormat="1" applyFont="1" applyBorder="1" applyAlignment="1" applyProtection="1">
      <alignment horizontal="center" vertical="center" wrapText="1"/>
      <protection/>
    </xf>
    <xf numFmtId="1" fontId="5" fillId="0" borderId="0" xfId="0" applyNumberFormat="1" applyFont="1" applyBorder="1" applyAlignment="1" applyProtection="1">
      <alignment horizontal="center" vertical="center" wrapText="1"/>
      <protection/>
    </xf>
    <xf numFmtId="2" fontId="5" fillId="0" borderId="0" xfId="0" applyNumberFormat="1" applyFont="1" applyBorder="1" applyAlignment="1" applyProtection="1">
      <alignment horizontal="center" vertical="center" wrapText="1"/>
      <protection/>
    </xf>
    <xf numFmtId="14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2" fontId="4" fillId="2" borderId="0" xfId="0" applyNumberFormat="1" applyFont="1" applyFill="1" applyBorder="1" applyAlignment="1" applyProtection="1">
      <alignment horizontal="center" vertical="center" wrapText="1"/>
      <protection/>
    </xf>
    <xf numFmtId="14" fontId="4" fillId="2" borderId="6" xfId="0" applyNumberFormat="1" applyFont="1" applyFill="1" applyBorder="1" applyAlignment="1" applyProtection="1">
      <alignment horizontal="center" vertical="center" wrapText="1"/>
      <protection/>
    </xf>
    <xf numFmtId="2" fontId="5" fillId="2" borderId="5" xfId="0" applyNumberFormat="1" applyFont="1" applyFill="1" applyBorder="1" applyAlignment="1" applyProtection="1">
      <alignment horizontal="center" vertical="center" wrapText="1"/>
      <protection/>
    </xf>
    <xf numFmtId="1" fontId="5" fillId="2" borderId="0" xfId="0" applyNumberFormat="1" applyFont="1" applyFill="1" applyBorder="1" applyAlignment="1" applyProtection="1">
      <alignment horizontal="center" vertical="center" wrapText="1"/>
      <protection/>
    </xf>
    <xf numFmtId="14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2" fontId="4" fillId="3" borderId="0" xfId="0" applyNumberFormat="1" applyFont="1" applyFill="1" applyBorder="1" applyAlignment="1" applyProtection="1">
      <alignment horizontal="center" vertical="center" wrapText="1"/>
      <protection/>
    </xf>
    <xf numFmtId="14" fontId="4" fillId="3" borderId="6" xfId="0" applyNumberFormat="1" applyFont="1" applyFill="1" applyBorder="1" applyAlignment="1" applyProtection="1">
      <alignment horizontal="center" vertical="center" wrapText="1"/>
      <protection/>
    </xf>
    <xf numFmtId="2" fontId="5" fillId="3" borderId="5" xfId="0" applyNumberFormat="1" applyFont="1" applyFill="1" applyBorder="1" applyAlignment="1" applyProtection="1">
      <alignment horizontal="center" vertical="center" wrapText="1"/>
      <protection/>
    </xf>
    <xf numFmtId="1" fontId="5" fillId="3" borderId="0" xfId="0" applyNumberFormat="1" applyFont="1" applyFill="1" applyBorder="1" applyAlignment="1" applyProtection="1">
      <alignment horizontal="center" vertical="center" wrapText="1"/>
      <protection/>
    </xf>
    <xf numFmtId="14" fontId="5" fillId="3" borderId="6" xfId="0" applyNumberFormat="1" applyFont="1" applyFill="1" applyBorder="1" applyAlignment="1" applyProtection="1">
      <alignment horizontal="center" vertical="center" wrapText="1"/>
      <protection/>
    </xf>
    <xf numFmtId="14" fontId="5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4" fontId="1" fillId="0" borderId="11" xfId="0" applyNumberFormat="1" applyFont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" fontId="1" fillId="0" borderId="12" xfId="0" applyNumberFormat="1" applyFont="1" applyBorder="1" applyAlignment="1" applyProtection="1">
      <alignment horizontal="center" vertical="center" wrapText="1"/>
      <protection/>
    </xf>
    <xf numFmtId="14" fontId="1" fillId="0" borderId="13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Border="1" applyAlignment="1" applyProtection="1">
      <alignment horizontal="center" vertical="center" wrapText="1"/>
      <protection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14" fontId="1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1" fontId="1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67" fontId="4" fillId="2" borderId="3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167" fontId="4" fillId="2" borderId="0" xfId="0" applyNumberFormat="1" applyFont="1" applyFill="1" applyBorder="1" applyAlignment="1" applyProtection="1">
      <alignment horizontal="center" vertical="center" wrapText="1"/>
      <protection/>
    </xf>
    <xf numFmtId="167" fontId="4" fillId="3" borderId="0" xfId="0" applyNumberFormat="1" applyFont="1" applyFill="1" applyBorder="1" applyAlignment="1" applyProtection="1">
      <alignment horizontal="center" vertical="center" wrapText="1"/>
      <protection/>
    </xf>
    <xf numFmtId="167" fontId="5" fillId="2" borderId="3" xfId="0" applyNumberFormat="1" applyFont="1" applyFill="1" applyBorder="1" applyAlignment="1" applyProtection="1">
      <alignment horizontal="center" vertical="center" wrapText="1"/>
      <protection/>
    </xf>
    <xf numFmtId="167" fontId="5" fillId="0" borderId="0" xfId="0" applyNumberFormat="1" applyFont="1" applyBorder="1" applyAlignment="1" applyProtection="1">
      <alignment horizontal="center" vertical="center" wrapText="1"/>
      <protection/>
    </xf>
    <xf numFmtId="167" fontId="5" fillId="2" borderId="0" xfId="0" applyNumberFormat="1" applyFont="1" applyFill="1" applyBorder="1" applyAlignment="1" applyProtection="1">
      <alignment horizontal="center" vertical="center" wrapText="1"/>
      <protection/>
    </xf>
    <xf numFmtId="167" fontId="5" fillId="3" borderId="0" xfId="0" applyNumberFormat="1" applyFont="1" applyFill="1" applyBorder="1" applyAlignment="1" applyProtection="1">
      <alignment horizontal="center" vertical="center" wrapText="1"/>
      <protection/>
    </xf>
    <xf numFmtId="167" fontId="5" fillId="0" borderId="0" xfId="0" applyNumberFormat="1" applyFont="1" applyBorder="1" applyAlignment="1">
      <alignment horizontal="center" vertical="center"/>
    </xf>
    <xf numFmtId="167" fontId="5" fillId="3" borderId="0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67" fontId="5" fillId="2" borderId="16" xfId="0" applyNumberFormat="1" applyFont="1" applyFill="1" applyBorder="1" applyAlignment="1" applyProtection="1">
      <alignment horizontal="center" vertical="center" wrapText="1"/>
      <protection/>
    </xf>
    <xf numFmtId="14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14" fontId="5" fillId="3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4" fontId="1" fillId="0" borderId="24" xfId="0" applyNumberFormat="1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4" fontId="1" fillId="0" borderId="26" xfId="0" applyNumberFormat="1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>
      <alignment horizontal="center"/>
    </xf>
    <xf numFmtId="14" fontId="1" fillId="0" borderId="24" xfId="0" applyNumberFormat="1" applyFont="1" applyBorder="1" applyAlignment="1">
      <alignment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7" fontId="4" fillId="3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7" fontId="4" fillId="3" borderId="0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167" fontId="4" fillId="3" borderId="16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3" borderId="0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14" fontId="3" fillId="3" borderId="16" xfId="0" applyNumberFormat="1" applyFont="1" applyFill="1" applyBorder="1" applyAlignment="1" applyProtection="1">
      <alignment horizontal="center" vertical="center"/>
      <protection locked="0"/>
    </xf>
    <xf numFmtId="14" fontId="9" fillId="3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 horizontal="center" vertical="center"/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14" fontId="9" fillId="3" borderId="0" xfId="0" applyNumberFormat="1" applyFont="1" applyFill="1" applyAlignment="1" applyProtection="1">
      <alignment horizontal="center" vertical="center"/>
      <protection locked="0"/>
    </xf>
    <xf numFmtId="14" fontId="9" fillId="3" borderId="16" xfId="0" applyNumberFormat="1" applyFont="1" applyFill="1" applyBorder="1" applyAlignment="1" applyProtection="1">
      <alignment horizontal="center" vertical="center"/>
      <protection locked="0"/>
    </xf>
    <xf numFmtId="14" fontId="3" fillId="0" borderId="1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167" fontId="4" fillId="0" borderId="16" xfId="0" applyNumberFormat="1" applyFont="1" applyBorder="1" applyAlignment="1" applyProtection="1">
      <alignment horizontal="center" vertical="center" wrapText="1"/>
      <protection/>
    </xf>
    <xf numFmtId="167" fontId="4" fillId="0" borderId="16" xfId="0" applyNumberFormat="1" applyFont="1" applyFill="1" applyBorder="1" applyAlignment="1" applyProtection="1">
      <alignment horizontal="center" vertical="center" wrapText="1"/>
      <protection/>
    </xf>
    <xf numFmtId="2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2" fontId="5" fillId="0" borderId="18" xfId="0" applyNumberFormat="1" applyFont="1" applyBorder="1" applyAlignment="1" applyProtection="1">
      <alignment horizontal="center" vertical="center" wrapText="1"/>
      <protection/>
    </xf>
    <xf numFmtId="1" fontId="5" fillId="0" borderId="16" xfId="0" applyNumberFormat="1" applyFont="1" applyBorder="1" applyAlignment="1" applyProtection="1">
      <alignment horizontal="center" vertical="center" wrapText="1"/>
      <protection/>
    </xf>
    <xf numFmtId="167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14" fontId="5" fillId="0" borderId="10" xfId="0" applyNumberFormat="1" applyFont="1" applyBorder="1" applyAlignment="1" applyProtection="1">
      <alignment horizontal="center" vertical="center" wrapText="1"/>
      <protection/>
    </xf>
    <xf numFmtId="14" fontId="3" fillId="3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6" xfId="0" applyNumberFormat="1" applyFont="1" applyBorder="1" applyAlignment="1" applyProtection="1">
      <alignment horizontal="center" vertical="center"/>
      <protection locked="0"/>
    </xf>
    <xf numFmtId="167" fontId="4" fillId="2" borderId="3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67" fontId="4" fillId="2" borderId="0" xfId="0" applyNumberFormat="1" applyFont="1" applyFill="1" applyBorder="1" applyAlignment="1">
      <alignment horizontal="center" vertical="center" wrapText="1"/>
    </xf>
    <xf numFmtId="167" fontId="4" fillId="2" borderId="7" xfId="0" applyNumberFormat="1" applyFont="1" applyFill="1" applyBorder="1" applyAlignment="1">
      <alignment horizontal="center" vertical="center" wrapText="1"/>
    </xf>
    <xf numFmtId="167" fontId="4" fillId="2" borderId="7" xfId="0" applyNumberFormat="1" applyFont="1" applyFill="1" applyBorder="1" applyAlignment="1" applyProtection="1">
      <alignment horizontal="center" vertical="center" wrapText="1"/>
      <protection/>
    </xf>
    <xf numFmtId="167" fontId="5" fillId="2" borderId="3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7" fontId="5" fillId="2" borderId="0" xfId="0" applyNumberFormat="1" applyFont="1" applyFill="1" applyBorder="1" applyAlignment="1">
      <alignment horizontal="center" vertical="center" wrapText="1"/>
    </xf>
    <xf numFmtId="167" fontId="5" fillId="2" borderId="7" xfId="0" applyNumberFormat="1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 quotePrefix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gtinra@versailles.inra.f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="114" zoomScaleNormal="114" workbookViewId="0" topLeftCell="A1">
      <selection activeCell="A1" sqref="A1"/>
    </sheetView>
  </sheetViews>
  <sheetFormatPr defaultColWidth="11.421875" defaultRowHeight="12.75"/>
  <cols>
    <col min="1" max="1" width="152.7109375" style="187" customWidth="1"/>
    <col min="2" max="16384" width="11.57421875" style="187" customWidth="1"/>
  </cols>
  <sheetData>
    <row r="1" ht="15">
      <c r="A1" s="30" t="s">
        <v>91</v>
      </c>
    </row>
    <row r="3" ht="15">
      <c r="A3" s="187" t="s">
        <v>0</v>
      </c>
    </row>
    <row r="4" s="188" customFormat="1" ht="15.75">
      <c r="A4" s="188" t="s">
        <v>93</v>
      </c>
    </row>
    <row r="5" s="188" customFormat="1" ht="15.75">
      <c r="A5" s="188" t="s">
        <v>95</v>
      </c>
    </row>
    <row r="6" s="188" customFormat="1" ht="15.75">
      <c r="A6" s="188" t="s">
        <v>94</v>
      </c>
    </row>
    <row r="7" s="188" customFormat="1" ht="15.75"/>
    <row r="8" ht="15.75">
      <c r="A8" s="189" t="s">
        <v>102</v>
      </c>
    </row>
    <row r="9" ht="15">
      <c r="A9" s="190" t="s">
        <v>96</v>
      </c>
    </row>
    <row r="10" ht="15">
      <c r="A10" s="190" t="s">
        <v>97</v>
      </c>
    </row>
    <row r="11" ht="15">
      <c r="A11" s="190" t="s">
        <v>98</v>
      </c>
    </row>
    <row r="12" ht="15">
      <c r="A12" s="190" t="s">
        <v>99</v>
      </c>
    </row>
    <row r="13" ht="15">
      <c r="A13" s="190" t="s">
        <v>100</v>
      </c>
    </row>
    <row r="15" ht="15.75">
      <c r="A15" s="187" t="s">
        <v>101</v>
      </c>
    </row>
    <row r="16" ht="15">
      <c r="A16" s="190" t="s">
        <v>103</v>
      </c>
    </row>
    <row r="17" ht="15">
      <c r="A17" s="190" t="s">
        <v>104</v>
      </c>
    </row>
    <row r="18" ht="15">
      <c r="A18" s="190" t="s">
        <v>105</v>
      </c>
    </row>
    <row r="19" ht="15">
      <c r="A19" s="190" t="s">
        <v>106</v>
      </c>
    </row>
    <row r="20" ht="15">
      <c r="A20" s="190" t="s">
        <v>107</v>
      </c>
    </row>
    <row r="21" ht="15">
      <c r="A21" s="190" t="s">
        <v>108</v>
      </c>
    </row>
    <row r="23" ht="15">
      <c r="A23" s="191" t="s">
        <v>1</v>
      </c>
    </row>
    <row r="25" ht="15">
      <c r="A25" s="192" t="s">
        <v>92</v>
      </c>
    </row>
    <row r="26" ht="15">
      <c r="A26" s="192" t="s">
        <v>109</v>
      </c>
    </row>
  </sheetData>
  <sheetProtection password="EBE6" sheet="1" objects="1" scenarios="1" selectLockedCells="1" selectUnlockedCells="1"/>
  <hyperlinks>
    <hyperlink ref="A23" r:id="rId1" display="Merci de signaler à cgtinra@versailles.inra.fr  les difficultés rencontrées"/>
  </hyperlinks>
  <printOptions horizontalCentered="1"/>
  <pageMargins left="0.3937007874015748" right="0.3937007874015748" top="1.062992125984252" bottom="1.062992125984252" header="0.7874015748031497" footer="0.7874015748031497"/>
  <pageSetup horizontalDpi="300" verticalDpi="300" orientation="landscape" paperSize="9" r:id="rId2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F1" sqref="F1"/>
    </sheetView>
  </sheetViews>
  <sheetFormatPr defaultColWidth="11.421875" defaultRowHeight="12.75"/>
  <cols>
    <col min="1" max="1" width="7.28125" style="0" bestFit="1" customWidth="1"/>
    <col min="2" max="2" width="5.421875" style="0" bestFit="1" customWidth="1"/>
    <col min="3" max="3" width="13.57421875" style="0" customWidth="1"/>
    <col min="4" max="4" width="20.421875" style="0" customWidth="1"/>
    <col min="5" max="5" width="14.7109375" style="0" customWidth="1"/>
    <col min="6" max="6" width="14.00390625" style="0" customWidth="1"/>
    <col min="7" max="7" width="18.00390625" style="0" customWidth="1"/>
    <col min="8" max="8" width="7.140625" style="0" bestFit="1" customWidth="1"/>
    <col min="9" max="9" width="6.57421875" style="0" customWidth="1"/>
    <col min="10" max="10" width="14.28125" style="0" customWidth="1"/>
    <col min="11" max="11" width="15.00390625" style="0" customWidth="1"/>
    <col min="12" max="12" width="14.140625" style="0" customWidth="1"/>
    <col min="13" max="13" width="17.28125" style="0" customWidth="1"/>
  </cols>
  <sheetData>
    <row r="1" spans="1:13" s="145" customFormat="1" ht="19.5" customHeight="1">
      <c r="A1" s="194" t="s">
        <v>2</v>
      </c>
      <c r="B1" s="194"/>
      <c r="C1" s="194"/>
      <c r="D1" s="194"/>
      <c r="E1" s="194"/>
      <c r="F1" s="3">
        <v>40909</v>
      </c>
      <c r="G1" s="193" t="str">
        <f>IF(F1&lt;G17,G23,G20)</f>
        <v>Validée</v>
      </c>
      <c r="H1" s="195" t="s">
        <v>111</v>
      </c>
      <c r="I1" s="195"/>
      <c r="J1" s="195"/>
      <c r="K1" s="195"/>
      <c r="L1" s="195"/>
      <c r="M1" s="195"/>
    </row>
    <row r="2" spans="1:13" ht="19.5" customHeight="1">
      <c r="A2" s="196" t="s">
        <v>57</v>
      </c>
      <c r="B2" s="196"/>
      <c r="C2" s="196"/>
      <c r="D2" s="196"/>
      <c r="E2" s="196"/>
      <c r="F2" s="196"/>
      <c r="G2" s="196"/>
      <c r="H2" s="197" t="s">
        <v>58</v>
      </c>
      <c r="I2" s="197"/>
      <c r="J2" s="197"/>
      <c r="K2" s="197"/>
      <c r="L2" s="197"/>
      <c r="M2" s="197"/>
    </row>
    <row r="3" spans="1:13" ht="79.5" customHeight="1">
      <c r="A3" s="4" t="s">
        <v>5</v>
      </c>
      <c r="B3" s="4" t="s">
        <v>6</v>
      </c>
      <c r="C3" s="4" t="s">
        <v>86</v>
      </c>
      <c r="D3" s="4" t="s">
        <v>7</v>
      </c>
      <c r="E3" s="4" t="s">
        <v>87</v>
      </c>
      <c r="F3" s="4" t="s">
        <v>45</v>
      </c>
      <c r="G3" s="4" t="s">
        <v>8</v>
      </c>
      <c r="H3" s="5" t="s">
        <v>5</v>
      </c>
      <c r="I3" s="5" t="s">
        <v>6</v>
      </c>
      <c r="J3" s="5" t="s">
        <v>88</v>
      </c>
      <c r="K3" s="6" t="s">
        <v>89</v>
      </c>
      <c r="L3" s="5" t="s">
        <v>90</v>
      </c>
      <c r="M3" s="5" t="s">
        <v>9</v>
      </c>
    </row>
    <row r="4" spans="1:13" ht="19.5" customHeight="1">
      <c r="A4" s="131" t="s">
        <v>59</v>
      </c>
      <c r="B4" s="132">
        <v>297</v>
      </c>
      <c r="C4" s="133">
        <v>12</v>
      </c>
      <c r="D4" s="149"/>
      <c r="E4" s="106" t="str">
        <f>IF(G1=G23,G23,IF(D4=G21,G23,IF(D4&lt;G24,G23,IF(D4&gt;F1,G23,(F1-D4)*G18))))</f>
        <v>Impossible</v>
      </c>
      <c r="F4" s="9" t="str">
        <f>IF(E4=G23,G19,IF(E4&gt;F17,G19,G20))</f>
        <v>Erronée</v>
      </c>
      <c r="G4" s="10" t="str">
        <f>IF(F4=G19,G21,(D4+(C4/G18)))</f>
        <v> </v>
      </c>
      <c r="H4" s="11" t="str">
        <f>IF(F4=G19,G21,H17)</f>
        <v> </v>
      </c>
      <c r="I4" s="12" t="str">
        <f>IF(F4=G19,G21,I17)</f>
        <v> </v>
      </c>
      <c r="J4" s="110" t="str">
        <f>IF(F4=G19,G21,J17)</f>
        <v> </v>
      </c>
      <c r="K4" s="110" t="str">
        <f>IF(F4=G19,G21,E4)</f>
        <v> </v>
      </c>
      <c r="L4" s="110" t="str">
        <f>IF(F4=G19,G21,IF((J4&lt;K4),G19,(J4-K4)))</f>
        <v> </v>
      </c>
      <c r="M4" s="13" t="str">
        <f>IF(F4=G19,G21,F1+L4/G18)</f>
        <v> </v>
      </c>
    </row>
    <row r="5" spans="1:13" ht="19.5" customHeight="1">
      <c r="A5" s="134" t="s">
        <v>60</v>
      </c>
      <c r="B5" s="135">
        <v>303</v>
      </c>
      <c r="C5" s="136">
        <v>18</v>
      </c>
      <c r="D5" s="150"/>
      <c r="E5" s="107" t="str">
        <f>IF(G1=G23,G23,IF(D5=G21,G23,IF(D5&lt;G24,G23,IF(D5&gt;F1,G23,(F1-D5)*G18))))</f>
        <v>Impossible</v>
      </c>
      <c r="F5" s="17" t="str">
        <f>IF(E5=G23,G19,IF(E5&gt;F18,G19,G20))</f>
        <v>Erronée</v>
      </c>
      <c r="G5" s="18" t="str">
        <f>IF(F5=G19,G21,(D5+(C5/G18)))</f>
        <v> </v>
      </c>
      <c r="H5" s="19" t="str">
        <f>IF(F5=G19,G21,H18)</f>
        <v> </v>
      </c>
      <c r="I5" s="20" t="str">
        <f>IF(F5=G19,G21,I18)</f>
        <v> </v>
      </c>
      <c r="J5" s="111" t="str">
        <f>IF(F5=G19,G21,J18)</f>
        <v> </v>
      </c>
      <c r="K5" s="111" t="str">
        <f>IF(F5=G19,G21,(4/3*E5))</f>
        <v> </v>
      </c>
      <c r="L5" s="111" t="str">
        <f>IF(F5=G19,G21,IF((J5&lt;K5),G19,(J5-K5)))</f>
        <v> </v>
      </c>
      <c r="M5" s="22" t="str">
        <f>IF(F5=G19,G21,F1+L5/G18)</f>
        <v> </v>
      </c>
    </row>
    <row r="6" spans="1:13" ht="19.5" customHeight="1">
      <c r="A6" s="137" t="s">
        <v>61</v>
      </c>
      <c r="B6" s="138">
        <v>319</v>
      </c>
      <c r="C6" s="139">
        <v>18</v>
      </c>
      <c r="D6" s="149"/>
      <c r="E6" s="108" t="str">
        <f>IF(G1=G23,G23,IF(D6=G21,G23,IF(D6&lt;G24,G23,IF(D6&gt;F1,G23,(F1-D6)*G18))))</f>
        <v>Impossible</v>
      </c>
      <c r="F6" s="25" t="str">
        <f>IF(E6=G23,G19,IF(D6&gt;F1,G19,IF(E6&gt;F19,G19,G20)))</f>
        <v>Erronée</v>
      </c>
      <c r="G6" s="26" t="str">
        <f>IF(F6=G19,G21,(D6+(C6/G18)))</f>
        <v> </v>
      </c>
      <c r="H6" s="27" t="str">
        <f>IF(F6=G19,G21,IF(E6&lt;E19,H19,H20))</f>
        <v> </v>
      </c>
      <c r="I6" s="28" t="str">
        <f>IF(F6=G19,G21,IF(E6&lt;E19,I19,I20))</f>
        <v> </v>
      </c>
      <c r="J6" s="112" t="str">
        <f>IF(F6=G19,G21,IF(E6&lt;E19,J19,J20))</f>
        <v> </v>
      </c>
      <c r="K6" s="112" t="str">
        <f>IF(F6=G19,G21,IF(E6&lt;E19,(2*E6),(E6-12)))</f>
        <v> </v>
      </c>
      <c r="L6" s="112" t="str">
        <f>IF(F6=G19,G21,IF((J6&lt;K6),G19,(J6-K6)))</f>
        <v> </v>
      </c>
      <c r="M6" s="29" t="str">
        <f>IF(F6=G19,G21,F1+L6/G18)</f>
        <v> </v>
      </c>
    </row>
    <row r="7" spans="1:13" ht="19.5" customHeight="1">
      <c r="A7" s="134" t="s">
        <v>62</v>
      </c>
      <c r="B7" s="135">
        <v>325</v>
      </c>
      <c r="C7" s="136">
        <v>24</v>
      </c>
      <c r="D7" s="150"/>
      <c r="E7" s="107" t="str">
        <f>IF(G1=G23,G23,IF(D7=G21,G23,IF(D7&lt;G24,G23,IF(D7&gt;F1,G23,(F1-D7)*G18))))</f>
        <v>Impossible</v>
      </c>
      <c r="F7" s="17" t="str">
        <f>IF(E7=G23,G19,IF(E7&gt;F20,G19,G20))</f>
        <v>Erronée</v>
      </c>
      <c r="G7" s="18" t="str">
        <f>IF(F7=G19,G21,(D7+(C7/G18)))</f>
        <v> </v>
      </c>
      <c r="H7" s="19" t="str">
        <f>IF(F7=G19,G21,IF(E7&lt;E20,H20,H21))</f>
        <v> </v>
      </c>
      <c r="I7" s="20" t="str">
        <f>IF(F7=G19,G21,IF(E7&lt;E20,I20,I21))</f>
        <v> </v>
      </c>
      <c r="J7" s="111" t="str">
        <f>IF(F7=G19,G21,IF(E7&lt;E20,J20,J21))</f>
        <v> </v>
      </c>
      <c r="K7" s="111" t="str">
        <f>IF(F7=G19,G21,IF(E7&lt;E20,((3/2*E7)+6),(3/2*(E7-12))))</f>
        <v> </v>
      </c>
      <c r="L7" s="111" t="str">
        <f>IF(F7=G19,G21,IF((J7&lt;K7),G19,(J7-K7)))</f>
        <v> </v>
      </c>
      <c r="M7" s="22" t="str">
        <f>IF(F7=G19,G21,F1+L7/G18)</f>
        <v> </v>
      </c>
    </row>
    <row r="8" spans="1:13" ht="19.5" customHeight="1">
      <c r="A8" s="137" t="s">
        <v>63</v>
      </c>
      <c r="B8" s="138">
        <v>339</v>
      </c>
      <c r="C8" s="139">
        <v>24</v>
      </c>
      <c r="D8" s="149"/>
      <c r="E8" s="109" t="str">
        <f>IF(G1=G23,G23,IF(D8=G21,G23,IF(D8&lt;G24,G23,IF(D8&gt;F1,G23,(F1-D8)*G18))))</f>
        <v>Impossible</v>
      </c>
      <c r="F8" s="70" t="str">
        <f>IF(E8=G23,G19,IF(E8&gt;F21,G19,G20))</f>
        <v>Erronée</v>
      </c>
      <c r="G8" s="71" t="str">
        <f>IF(F8=G19,G21,(D8+(C8/G18)))</f>
        <v> </v>
      </c>
      <c r="H8" s="72" t="str">
        <f>IF(F8=G19,G21,IF(E8&lt;E21,H21,H22))</f>
        <v> </v>
      </c>
      <c r="I8" s="73" t="str">
        <f>IF(F8=G19,G21,IF(E8&lt;E21,I21,I22))</f>
        <v> </v>
      </c>
      <c r="J8" s="113" t="str">
        <f>IF(F8=G19,G21,IF(E8&lt;E21,J21,J22))</f>
        <v> </v>
      </c>
      <c r="K8" s="113" t="str">
        <f>IF(F8=G19,G21,IF(E8&lt;E21,(E8+18),(2*(E8-18))))</f>
        <v> </v>
      </c>
      <c r="L8" s="113" t="str">
        <f>IF(F8=G19,G21,IF((J8&lt;K8),G19,(J8-K8)))</f>
        <v> </v>
      </c>
      <c r="M8" s="74" t="str">
        <f>IF(F8=G19,G21,F1+L8/G18)</f>
        <v> </v>
      </c>
    </row>
    <row r="9" spans="1:13" ht="19.5" customHeight="1">
      <c r="A9" s="134" t="s">
        <v>64</v>
      </c>
      <c r="B9" s="135">
        <v>352</v>
      </c>
      <c r="C9" s="136">
        <v>24</v>
      </c>
      <c r="D9" s="150"/>
      <c r="E9" s="107" t="str">
        <f>IF(G1=G23,G23,IF(D9=G21,G23,IF(D9&lt;G24,G23,IF(D9&gt;F1,G23,(F1-D9)*G18))))</f>
        <v>Impossible</v>
      </c>
      <c r="F9" s="17" t="str">
        <f>IF(E9=G23,G19,IF(E9&gt;F22,G19,G20))</f>
        <v>Erronée</v>
      </c>
      <c r="G9" s="18" t="str">
        <f>IF(F9=G19,G21,(D9+(C9/G18)))</f>
        <v> </v>
      </c>
      <c r="H9" s="19" t="str">
        <f>IF(F9=G19,G21,H22)</f>
        <v> </v>
      </c>
      <c r="I9" s="20" t="str">
        <f>IF(F9=G19,G21,I22)</f>
        <v> </v>
      </c>
      <c r="J9" s="111" t="str">
        <f>IF(F9=G19,G21,J22)</f>
        <v> </v>
      </c>
      <c r="K9" s="111" t="str">
        <f>IF(F9=G19,G21,(E9+12))</f>
        <v> </v>
      </c>
      <c r="L9" s="111" t="str">
        <f>IF(F9=G19,G21,IF((J9&lt;K9),G19,(J9-K9)))</f>
        <v> </v>
      </c>
      <c r="M9" s="22" t="str">
        <f>IF(F9=G19,G21,F1+L9/G18)</f>
        <v> </v>
      </c>
    </row>
    <row r="10" spans="1:13" ht="19.5" customHeight="1">
      <c r="A10" s="137" t="s">
        <v>65</v>
      </c>
      <c r="B10" s="138">
        <v>362</v>
      </c>
      <c r="C10" s="139">
        <v>24</v>
      </c>
      <c r="D10" s="149"/>
      <c r="E10" s="108" t="str">
        <f>IF(G1=G23,G23,IF(D10=G21,G23,IF(D10&lt;G24,G23,IF(D10&gt;F1,G23,(F1-D10)*G18))))</f>
        <v>Impossible</v>
      </c>
      <c r="F10" s="25" t="str">
        <f>IF(E10=G23,G19,IF(E10&gt;F23,G19,G20))</f>
        <v>Erronée</v>
      </c>
      <c r="G10" s="26" t="str">
        <f>IF(F10=G19,G21,(D10+(C10/G18)))</f>
        <v> </v>
      </c>
      <c r="H10" s="27" t="str">
        <f>IF(F10=G19,G21,H23)</f>
        <v> </v>
      </c>
      <c r="I10" s="28" t="str">
        <f>IF(F10=G19,G21,I23)</f>
        <v> </v>
      </c>
      <c r="J10" s="112" t="str">
        <f>IF(F10=G19,G21,J23)</f>
        <v> </v>
      </c>
      <c r="K10" s="112" t="str">
        <f>IF(F10=G19,G21,E10)</f>
        <v> </v>
      </c>
      <c r="L10" s="112" t="str">
        <f>IF(F10=G19,G21,IF((J10&lt;K10),G19,(J10-K10)))</f>
        <v> </v>
      </c>
      <c r="M10" s="29" t="str">
        <f>IF(F10=G19,G21,F1+L10/G18)</f>
        <v> </v>
      </c>
    </row>
    <row r="11" spans="1:13" ht="19.5" customHeight="1">
      <c r="A11" s="134" t="s">
        <v>66</v>
      </c>
      <c r="B11" s="135">
        <v>370</v>
      </c>
      <c r="C11" s="136">
        <v>24</v>
      </c>
      <c r="D11" s="150"/>
      <c r="E11" s="136" t="str">
        <f>IF(G1=G23,G23,IF(D11=G21,G23,IF(D11&lt;G24,G23,IF(D11&gt;F1,G23,(F1-D11)*G18))))</f>
        <v>Impossible</v>
      </c>
      <c r="F11" s="17" t="str">
        <f>IF(E11=G23,G19,IF(E11&gt;F24,G19,G20))</f>
        <v>Erronée</v>
      </c>
      <c r="G11" s="18" t="str">
        <f>IF(F11=G19,G21,(D11+(C11/G18)))</f>
        <v> </v>
      </c>
      <c r="H11" s="19" t="str">
        <f>IF(F11=G19,G21,IF(E11&lt;E24,H23,H24))</f>
        <v> </v>
      </c>
      <c r="I11" s="98" t="str">
        <f>IF(F11=G19,G21,IF(E11&lt;E24,I23,I24))</f>
        <v> </v>
      </c>
      <c r="J11" s="114" t="str">
        <f>IF(F11=G19,G21,IF(E11&lt;E24,J23,J24))</f>
        <v> </v>
      </c>
      <c r="K11" s="114" t="str">
        <f>IF(F11=G19,G21,IF(E11&lt;E24,((2/3*E11)+24),(2*(E11-18))))</f>
        <v> </v>
      </c>
      <c r="L11" s="114" t="str">
        <f>IF(F11=G19,G21,IF((J11&lt;K11),G19,(J11-K11)))</f>
        <v> </v>
      </c>
      <c r="M11" s="99" t="str">
        <f>IF(F11=G19,G21,F1+L11/G18)</f>
        <v> </v>
      </c>
    </row>
    <row r="12" spans="1:13" ht="19.5" customHeight="1">
      <c r="A12" s="137" t="s">
        <v>67</v>
      </c>
      <c r="B12" s="138">
        <v>384</v>
      </c>
      <c r="C12" s="139">
        <v>24</v>
      </c>
      <c r="D12" s="149"/>
      <c r="E12" s="139" t="str">
        <f>IF(G1=G23,G23,IF(D12=G21,G23,IF(D12&lt;G24,G23,IF(D12&gt;F1,G23,(F1-D12)*G18))))</f>
        <v>Impossible</v>
      </c>
      <c r="F12" s="138" t="str">
        <f>IF(E12=G23,G19,IF(E12&gt;F25,G19,G20))</f>
        <v>Erronée</v>
      </c>
      <c r="G12" s="26" t="str">
        <f>IF(F12=G19,G21,(D12+(C12/G18)))</f>
        <v> </v>
      </c>
      <c r="H12" s="100" t="str">
        <f>IF(F12=G19,G21,IF(E12&lt;E25,H24,H25))</f>
        <v> </v>
      </c>
      <c r="I12" s="101" t="str">
        <f>IF(F12=G19,G21,IF(E12&lt;E25,I24,I25))</f>
        <v> </v>
      </c>
      <c r="J12" s="115" t="str">
        <f>IF(F12=G19,G21,IF(E12&lt;E25,J24,J25))</f>
        <v> </v>
      </c>
      <c r="K12" s="115" t="str">
        <f>IF(F12=G19,G21,IF(E12&lt;6,(2*(E12+12)),IF(E12&lt;E25,F27,(E12-12))))</f>
        <v> </v>
      </c>
      <c r="L12" s="115" t="str">
        <f>IF(F12=G19,G21,IF((J12&lt;K12),G19,(J12-K12)))</f>
        <v> </v>
      </c>
      <c r="M12" s="102" t="str">
        <f>IF(F12=G19,G21,F1+L12/G18)</f>
        <v> </v>
      </c>
    </row>
    <row r="13" spans="1:13" ht="19.5" customHeight="1">
      <c r="A13" s="134" t="s">
        <v>68</v>
      </c>
      <c r="B13" s="135">
        <v>395</v>
      </c>
      <c r="C13" s="136">
        <v>24</v>
      </c>
      <c r="D13" s="151"/>
      <c r="E13" s="136" t="str">
        <f>IF(G1=G23,G23,IF(D13=G21,G23,IF(D13&lt;G24,G23,IF(D13&gt;F1,G23,(F1-D13)*G18))))</f>
        <v>Impossible</v>
      </c>
      <c r="F13" s="135" t="str">
        <f>IF(E13=G23,G19,IF(E13&gt;F26,G19,G20))</f>
        <v>Erronée</v>
      </c>
      <c r="G13" s="18" t="str">
        <f>IF(F13=G19,G21,(D13+(C13/G18)))</f>
        <v> </v>
      </c>
      <c r="H13" s="103" t="str">
        <f>IF(F13=G19,G21,H25)</f>
        <v> </v>
      </c>
      <c r="I13" s="98" t="str">
        <f>IF(F13=G19,G21,I25)</f>
        <v> </v>
      </c>
      <c r="J13" s="114" t="str">
        <f>IF(F13=G19,G21,J25)</f>
        <v> </v>
      </c>
      <c r="K13" s="114" t="str">
        <f>IF(F13=G19,G21,(E13+12))</f>
        <v> </v>
      </c>
      <c r="L13" s="114" t="str">
        <f>IF(F13=G19,G21,IF((J13&lt;K13),G19,(J13-K13)))</f>
        <v> </v>
      </c>
      <c r="M13" s="99" t="str">
        <f>IF(F13=G19,G21,F1+L13/G18)</f>
        <v> </v>
      </c>
    </row>
    <row r="14" spans="1:13" ht="19.5" customHeight="1">
      <c r="A14" s="137" t="s">
        <v>69</v>
      </c>
      <c r="B14" s="138">
        <v>418</v>
      </c>
      <c r="C14" s="139">
        <v>36</v>
      </c>
      <c r="D14" s="152"/>
      <c r="E14" s="139" t="str">
        <f>IF(G1=G23,G23,IF(D14=G21,G23,IF(D14&lt;G24,G23,IF(D14&gt;F1,G23,(F1-D14)*G18))))</f>
        <v>Impossible</v>
      </c>
      <c r="F14" s="138" t="str">
        <f>IF(E14=G23,G19,IF(E14&gt;F27,G19,G20))</f>
        <v>Erronée</v>
      </c>
      <c r="G14" s="26" t="str">
        <f>IF(F14=G19,G21,(D14+(C14/G18)))</f>
        <v> </v>
      </c>
      <c r="H14" s="100" t="str">
        <f>IF(F14=G19,G21,H26)</f>
        <v> </v>
      </c>
      <c r="I14" s="101" t="str">
        <f>IF(F14=G19,G21,I26)</f>
        <v> </v>
      </c>
      <c r="J14" s="115" t="str">
        <f>IF(F14=G19,G21,J26)</f>
        <v> </v>
      </c>
      <c r="K14" s="115" t="str">
        <f>IF(F14=G19,G21,E14)</f>
        <v> </v>
      </c>
      <c r="L14" s="115" t="str">
        <f>IF(F14=G19,G21,IF((J14&lt;K14),G19,(J14-K14)))</f>
        <v> </v>
      </c>
      <c r="M14" s="102" t="str">
        <f>IF(F14=G19,G21,F1+L14/G18)</f>
        <v> </v>
      </c>
    </row>
    <row r="15" spans="1:13" ht="19.5" customHeight="1">
      <c r="A15" s="134" t="s">
        <v>70</v>
      </c>
      <c r="B15" s="135">
        <v>439</v>
      </c>
      <c r="C15" s="136">
        <v>48</v>
      </c>
      <c r="D15" s="151"/>
      <c r="E15" s="136" t="str">
        <f>IF(G1=G23,G23,IF(D15=G21,G23,IF(D15&lt;G24,G23,IF(D15&gt;F1,G23,(F1-D15)*G18))))</f>
        <v>Impossible</v>
      </c>
      <c r="F15" s="135" t="str">
        <f>IF(E15=G23,G19,IF(E15&gt;F28,G19,G20))</f>
        <v>Erronée</v>
      </c>
      <c r="G15" s="18" t="str">
        <f>IF(F15=G19,G21,(D15+(C15/G18)))</f>
        <v> </v>
      </c>
      <c r="H15" s="103" t="str">
        <f>IF(F15=G19,G21,H27)</f>
        <v> </v>
      </c>
      <c r="I15" s="98" t="str">
        <f>IF(F15=G19,G21,I27)</f>
        <v> </v>
      </c>
      <c r="J15" s="114" t="str">
        <f>IF(F15=G19,G21,J27)</f>
        <v> </v>
      </c>
      <c r="K15" s="114" t="str">
        <f>IF(F15=G19,G21,E15)</f>
        <v> </v>
      </c>
      <c r="L15" s="114" t="str">
        <f>IF(F15=G19,G21,IF((J15&lt;K15),G19,(J15-K15)))</f>
        <v> </v>
      </c>
      <c r="M15" s="99" t="str">
        <f>IF(F15=G19,G21,F1+L15/G18)</f>
        <v> </v>
      </c>
    </row>
    <row r="16" spans="1:13" ht="19.5" customHeight="1">
      <c r="A16" s="140" t="s">
        <v>71</v>
      </c>
      <c r="B16" s="141">
        <v>463</v>
      </c>
      <c r="C16" s="142" t="s">
        <v>18</v>
      </c>
      <c r="D16" s="153"/>
      <c r="E16" s="143" t="str">
        <f>IF(G1=G23,G23,IF(D16=G21,G23,IF(D16&lt;G24,G23,IF(D16&gt;F1,G23,(F1-D16)*G18))))</f>
        <v>Impossible</v>
      </c>
      <c r="F16" s="141" t="str">
        <f>IF(E16=G23,G19,IF(E16&gt;F29,G19,G20))</f>
        <v>Erronée</v>
      </c>
      <c r="G16" s="144" t="str">
        <f>IF(F10=G19,G21,"-")</f>
        <v> </v>
      </c>
      <c r="H16" s="104" t="str">
        <f>IF(F16=G19,G21,IF(E16&lt;E29,H28,H29))</f>
        <v> </v>
      </c>
      <c r="I16" s="105" t="str">
        <f>IF(F16=G19,G21,IF(E16&lt;E29,I28,I29))</f>
        <v> </v>
      </c>
      <c r="J16" s="116" t="str">
        <f>IF(F16=G19,G21,IF(E16&lt;E29,J28,J29))</f>
        <v> </v>
      </c>
      <c r="K16" s="116" t="str">
        <f>IF(F16=G19,G21,IF(E16&lt;E29,E16,G22))</f>
        <v> </v>
      </c>
      <c r="L16" s="117" t="str">
        <f>IF(F16=G19,G21,IF(F16=G23,G21,IF(H16=H29,J29,IF(H16=H28,IF((J16&lt;K16),G19,(J16-K16)),G19))))</f>
        <v> </v>
      </c>
      <c r="M16" s="121" t="str">
        <f>IF(F16=G19,G21,IF(H16=H29,J29,IF(H16=H28,F1+L16/G18,G19)))</f>
        <v> </v>
      </c>
    </row>
    <row r="17" spans="1:13" ht="19.5" customHeight="1" hidden="1">
      <c r="A17" s="122"/>
      <c r="B17" s="122"/>
      <c r="C17" s="123">
        <v>40817</v>
      </c>
      <c r="D17" s="124" t="s">
        <v>59</v>
      </c>
      <c r="E17" s="125">
        <v>0</v>
      </c>
      <c r="F17" s="126">
        <v>12</v>
      </c>
      <c r="G17" s="127">
        <v>40909</v>
      </c>
      <c r="H17" s="124" t="s">
        <v>72</v>
      </c>
      <c r="I17" s="125">
        <v>310</v>
      </c>
      <c r="J17" s="126">
        <v>12</v>
      </c>
      <c r="K17" s="122"/>
      <c r="L17" s="122"/>
      <c r="M17" s="122"/>
    </row>
    <row r="18" spans="1:13" ht="19.5" customHeight="1" hidden="1">
      <c r="A18" s="122"/>
      <c r="B18" s="122"/>
      <c r="C18" s="123">
        <v>40725</v>
      </c>
      <c r="D18" s="124" t="s">
        <v>60</v>
      </c>
      <c r="E18" s="125">
        <v>0</v>
      </c>
      <c r="F18" s="126">
        <v>18</v>
      </c>
      <c r="G18" s="128">
        <f>12/365.25</f>
        <v>0.03285420944558522</v>
      </c>
      <c r="H18" s="124" t="s">
        <v>73</v>
      </c>
      <c r="I18" s="125">
        <v>316</v>
      </c>
      <c r="J18" s="126">
        <v>24</v>
      </c>
      <c r="K18" s="122"/>
      <c r="L18" s="122"/>
      <c r="M18" s="122"/>
    </row>
    <row r="19" spans="1:13" ht="19.5" customHeight="1" hidden="1">
      <c r="A19" s="122"/>
      <c r="B19" s="122"/>
      <c r="C19" s="123">
        <v>40634</v>
      </c>
      <c r="D19" s="124" t="s">
        <v>61</v>
      </c>
      <c r="E19" s="125">
        <v>12</v>
      </c>
      <c r="F19" s="126">
        <v>18</v>
      </c>
      <c r="G19" s="128" t="s">
        <v>46</v>
      </c>
      <c r="H19" s="124" t="s">
        <v>74</v>
      </c>
      <c r="I19" s="125">
        <v>325</v>
      </c>
      <c r="J19" s="126">
        <v>24</v>
      </c>
      <c r="K19" s="122"/>
      <c r="L19" s="122"/>
      <c r="M19" s="122"/>
    </row>
    <row r="20" spans="1:13" ht="19.5" customHeight="1" hidden="1">
      <c r="A20" s="122"/>
      <c r="B20" s="122"/>
      <c r="C20" s="123">
        <v>40544</v>
      </c>
      <c r="D20" s="124" t="s">
        <v>62</v>
      </c>
      <c r="E20" s="125">
        <v>12</v>
      </c>
      <c r="F20" s="126">
        <v>24</v>
      </c>
      <c r="G20" s="128" t="s">
        <v>47</v>
      </c>
      <c r="H20" s="124" t="s">
        <v>75</v>
      </c>
      <c r="I20" s="125">
        <v>334</v>
      </c>
      <c r="J20" s="126">
        <v>24</v>
      </c>
      <c r="K20" s="122"/>
      <c r="L20" s="122"/>
      <c r="M20" s="122"/>
    </row>
    <row r="21" spans="1:13" ht="19.5" customHeight="1" hidden="1">
      <c r="A21" s="122"/>
      <c r="B21" s="122"/>
      <c r="C21" s="123">
        <v>40452</v>
      </c>
      <c r="D21" s="124" t="s">
        <v>63</v>
      </c>
      <c r="E21" s="125">
        <v>18</v>
      </c>
      <c r="F21" s="126">
        <v>24</v>
      </c>
      <c r="G21" s="128" t="s">
        <v>28</v>
      </c>
      <c r="H21" s="124" t="s">
        <v>76</v>
      </c>
      <c r="I21" s="125">
        <v>345</v>
      </c>
      <c r="J21" s="126">
        <v>36</v>
      </c>
      <c r="K21" s="122"/>
      <c r="L21" s="122"/>
      <c r="M21" s="122"/>
    </row>
    <row r="22" spans="1:13" ht="19.5" customHeight="1" hidden="1">
      <c r="A22" s="122"/>
      <c r="B22" s="122"/>
      <c r="C22" s="123">
        <v>40360</v>
      </c>
      <c r="D22" s="124" t="s">
        <v>64</v>
      </c>
      <c r="E22" s="125">
        <v>0</v>
      </c>
      <c r="F22" s="126">
        <v>24</v>
      </c>
      <c r="G22" s="128">
        <v>0</v>
      </c>
      <c r="H22" s="124" t="s">
        <v>77</v>
      </c>
      <c r="I22" s="125">
        <v>358</v>
      </c>
      <c r="J22" s="126">
        <v>36</v>
      </c>
      <c r="K22" s="122"/>
      <c r="L22" s="122"/>
      <c r="M22" s="122"/>
    </row>
    <row r="23" spans="1:13" ht="19.5" customHeight="1" hidden="1">
      <c r="A23" s="122"/>
      <c r="B23" s="122"/>
      <c r="C23" s="123">
        <v>40269</v>
      </c>
      <c r="D23" s="124" t="s">
        <v>65</v>
      </c>
      <c r="E23" s="125">
        <v>0</v>
      </c>
      <c r="F23" s="126">
        <v>24</v>
      </c>
      <c r="G23" s="128" t="s">
        <v>85</v>
      </c>
      <c r="H23" s="124" t="s">
        <v>78</v>
      </c>
      <c r="I23" s="125">
        <v>371</v>
      </c>
      <c r="J23" s="126">
        <v>36</v>
      </c>
      <c r="K23" s="122"/>
      <c r="L23" s="122"/>
      <c r="M23" s="122"/>
    </row>
    <row r="24" spans="1:13" ht="19.5" customHeight="1" hidden="1">
      <c r="A24" s="122"/>
      <c r="B24" s="122"/>
      <c r="C24" s="123">
        <v>40179</v>
      </c>
      <c r="D24" s="124" t="s">
        <v>66</v>
      </c>
      <c r="E24" s="125">
        <v>18</v>
      </c>
      <c r="F24" s="126">
        <v>24</v>
      </c>
      <c r="G24" s="128">
        <v>25000</v>
      </c>
      <c r="H24" s="124" t="s">
        <v>79</v>
      </c>
      <c r="I24" s="125">
        <v>384</v>
      </c>
      <c r="J24" s="126">
        <v>36</v>
      </c>
      <c r="K24" s="122"/>
      <c r="L24" s="122"/>
      <c r="M24" s="122"/>
    </row>
    <row r="25" spans="1:13" ht="19.5" customHeight="1" hidden="1">
      <c r="A25" s="122"/>
      <c r="B25" s="122"/>
      <c r="C25" s="123">
        <v>40087</v>
      </c>
      <c r="D25" s="124" t="s">
        <v>67</v>
      </c>
      <c r="E25" s="125">
        <v>12</v>
      </c>
      <c r="F25" s="126">
        <v>24</v>
      </c>
      <c r="G25" s="129"/>
      <c r="H25" s="124" t="s">
        <v>80</v>
      </c>
      <c r="I25" s="125">
        <v>400</v>
      </c>
      <c r="J25" s="126">
        <v>36</v>
      </c>
      <c r="K25" s="122"/>
      <c r="L25" s="122"/>
      <c r="M25" s="122"/>
    </row>
    <row r="26" spans="1:13" ht="19.5" customHeight="1" hidden="1">
      <c r="A26" s="122"/>
      <c r="B26" s="122"/>
      <c r="C26" s="123">
        <v>39995</v>
      </c>
      <c r="D26" s="124" t="s">
        <v>68</v>
      </c>
      <c r="E26" s="125">
        <v>0</v>
      </c>
      <c r="F26" s="126">
        <v>24</v>
      </c>
      <c r="G26" s="129"/>
      <c r="H26" s="124" t="s">
        <v>81</v>
      </c>
      <c r="I26" s="125">
        <v>420</v>
      </c>
      <c r="J26" s="126">
        <v>36</v>
      </c>
      <c r="K26" s="122"/>
      <c r="L26" s="122"/>
      <c r="M26" s="122"/>
    </row>
    <row r="27" spans="1:13" ht="19.5" customHeight="1" hidden="1">
      <c r="A27" s="122"/>
      <c r="B27" s="122"/>
      <c r="C27" s="123">
        <v>39904</v>
      </c>
      <c r="D27" s="124" t="s">
        <v>69</v>
      </c>
      <c r="E27" s="125">
        <v>0</v>
      </c>
      <c r="F27" s="126">
        <v>36</v>
      </c>
      <c r="G27" s="129"/>
      <c r="H27" s="124" t="s">
        <v>82</v>
      </c>
      <c r="I27" s="125">
        <v>443</v>
      </c>
      <c r="J27" s="126">
        <v>48</v>
      </c>
      <c r="K27" s="122"/>
      <c r="L27" s="122"/>
      <c r="M27" s="122"/>
    </row>
    <row r="28" spans="1:13" ht="19.5" customHeight="1" hidden="1">
      <c r="A28" s="122"/>
      <c r="B28" s="122"/>
      <c r="C28" s="123">
        <v>39814</v>
      </c>
      <c r="D28" s="124" t="s">
        <v>70</v>
      </c>
      <c r="E28" s="125">
        <v>0</v>
      </c>
      <c r="F28" s="126">
        <v>48</v>
      </c>
      <c r="G28" s="129"/>
      <c r="H28" s="124" t="s">
        <v>83</v>
      </c>
      <c r="I28" s="125">
        <v>466</v>
      </c>
      <c r="J28" s="126">
        <v>48</v>
      </c>
      <c r="K28" s="122"/>
      <c r="L28" s="122"/>
      <c r="M28" s="122"/>
    </row>
    <row r="29" spans="1:13" ht="19.5" customHeight="1" hidden="1">
      <c r="A29" s="122"/>
      <c r="B29" s="122"/>
      <c r="C29" s="123">
        <v>39722</v>
      </c>
      <c r="D29" s="124" t="s">
        <v>71</v>
      </c>
      <c r="E29" s="125">
        <v>48</v>
      </c>
      <c r="F29" s="126">
        <v>500</v>
      </c>
      <c r="G29" s="129"/>
      <c r="H29" s="124" t="s">
        <v>84</v>
      </c>
      <c r="I29" s="125">
        <v>486</v>
      </c>
      <c r="J29" s="126" t="s">
        <v>18</v>
      </c>
      <c r="K29" s="122"/>
      <c r="L29" s="122"/>
      <c r="M29" s="122"/>
    </row>
    <row r="30" spans="1:13" ht="19.5" customHeight="1" hidden="1">
      <c r="A30" s="122"/>
      <c r="B30" s="122"/>
      <c r="C30" s="130">
        <v>39630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  <row r="31" spans="1:13" ht="19.5" customHeight="1" hidden="1">
      <c r="A31" s="122"/>
      <c r="B31" s="122"/>
      <c r="C31" s="130">
        <v>39539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3" ht="19.5" customHeight="1" hidden="1">
      <c r="A32" s="122"/>
      <c r="B32" s="122"/>
      <c r="C32" s="130">
        <v>39448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19.5" customHeight="1" hidden="1">
      <c r="A33" s="122"/>
      <c r="B33" s="122"/>
      <c r="C33" s="130">
        <v>39356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2.7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</sheetData>
  <sheetProtection password="EBE6" sheet="1" objects="1" scenarios="1" selectLockedCells="1"/>
  <mergeCells count="4">
    <mergeCell ref="A1:E1"/>
    <mergeCell ref="H1:M1"/>
    <mergeCell ref="A2:G2"/>
    <mergeCell ref="H2:M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&amp;C&amp;A</oddHeader>
    <oddFooter>&amp;LCGT-INRA&amp;CIntégration des TRNO en TRNO-NES&amp;R&amp;D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F1" sqref="F1"/>
    </sheetView>
  </sheetViews>
  <sheetFormatPr defaultColWidth="11.421875" defaultRowHeight="12.75"/>
  <cols>
    <col min="1" max="1" width="7.00390625" style="1" customWidth="1"/>
    <col min="2" max="2" width="5.140625" style="1" customWidth="1"/>
    <col min="3" max="3" width="13.8515625" style="1" customWidth="1"/>
    <col min="4" max="4" width="20.00390625" style="1" customWidth="1"/>
    <col min="5" max="5" width="16.00390625" style="1" customWidth="1"/>
    <col min="6" max="7" width="16.7109375" style="1" customWidth="1"/>
    <col min="8" max="8" width="8.140625" style="1" customWidth="1"/>
    <col min="9" max="9" width="7.28125" style="1" customWidth="1"/>
    <col min="10" max="10" width="15.00390625" style="1" customWidth="1"/>
    <col min="11" max="11" width="14.7109375" style="2" customWidth="1"/>
    <col min="12" max="12" width="14.8515625" style="2" customWidth="1"/>
    <col min="13" max="13" width="16.8515625" style="2" customWidth="1"/>
    <col min="14" max="16384" width="11.421875" style="1" customWidth="1"/>
  </cols>
  <sheetData>
    <row r="1" spans="1:13" ht="19.5" customHeight="1">
      <c r="A1" s="194" t="s">
        <v>2</v>
      </c>
      <c r="B1" s="194"/>
      <c r="C1" s="194"/>
      <c r="D1" s="194"/>
      <c r="E1" s="194"/>
      <c r="F1" s="3">
        <v>40909</v>
      </c>
      <c r="G1" s="193" t="str">
        <f>IF(F1&lt;G17,G23,G20)</f>
        <v>Validée</v>
      </c>
      <c r="H1" s="195" t="s">
        <v>110</v>
      </c>
      <c r="I1" s="195"/>
      <c r="J1" s="195"/>
      <c r="K1" s="195"/>
      <c r="L1" s="195"/>
      <c r="M1" s="195"/>
    </row>
    <row r="2" spans="1:13" ht="19.5" customHeight="1">
      <c r="A2" s="196" t="s">
        <v>3</v>
      </c>
      <c r="B2" s="196"/>
      <c r="C2" s="196"/>
      <c r="D2" s="196"/>
      <c r="E2" s="196"/>
      <c r="F2" s="196"/>
      <c r="G2" s="196"/>
      <c r="H2" s="197" t="s">
        <v>4</v>
      </c>
      <c r="I2" s="197"/>
      <c r="J2" s="197"/>
      <c r="K2" s="197"/>
      <c r="L2" s="197"/>
      <c r="M2" s="197"/>
    </row>
    <row r="3" spans="1:13" ht="79.5" customHeight="1">
      <c r="A3" s="4" t="s">
        <v>5</v>
      </c>
      <c r="B3" s="4" t="s">
        <v>6</v>
      </c>
      <c r="C3" s="4" t="s">
        <v>86</v>
      </c>
      <c r="D3" s="158" t="s">
        <v>7</v>
      </c>
      <c r="E3" s="4" t="s">
        <v>87</v>
      </c>
      <c r="F3" s="4" t="s">
        <v>45</v>
      </c>
      <c r="G3" s="4" t="s">
        <v>8</v>
      </c>
      <c r="H3" s="5" t="s">
        <v>5</v>
      </c>
      <c r="I3" s="5" t="s">
        <v>6</v>
      </c>
      <c r="J3" s="5" t="s">
        <v>88</v>
      </c>
      <c r="K3" s="6" t="s">
        <v>89</v>
      </c>
      <c r="L3" s="5" t="s">
        <v>90</v>
      </c>
      <c r="M3" s="5" t="s">
        <v>9</v>
      </c>
    </row>
    <row r="4" spans="1:13" ht="19.5" customHeight="1">
      <c r="A4" s="7" t="s">
        <v>10</v>
      </c>
      <c r="B4" s="8">
        <v>352</v>
      </c>
      <c r="C4" s="106">
        <v>18</v>
      </c>
      <c r="D4" s="175"/>
      <c r="E4" s="106" t="str">
        <f>IF(G1=G23,G23,IF(D4=G21,G23,IF(D4&lt;G24,G23,IF(D4&gt;F1,G23,(F1-D4)*G18))))</f>
        <v>Impossible</v>
      </c>
      <c r="F4" s="9" t="str">
        <f>IF(E4=G23,G19,IF(E4&gt;F17,G19,G20))</f>
        <v>Erronée</v>
      </c>
      <c r="G4" s="10" t="str">
        <f>IF(F4=G19,G21,(D4+(C4/G18)))</f>
        <v> </v>
      </c>
      <c r="H4" s="11" t="str">
        <f>IF(F4=G19,G21,H17)</f>
        <v> </v>
      </c>
      <c r="I4" s="12" t="str">
        <f>IF(F4=G19,G21,I17)</f>
        <v> </v>
      </c>
      <c r="J4" s="110" t="str">
        <f>IF(F4=G19,G21,J17)</f>
        <v> </v>
      </c>
      <c r="K4" s="110" t="str">
        <f>IF(F4=G19,G21,E4)</f>
        <v> </v>
      </c>
      <c r="L4" s="110" t="str">
        <f>IF(F4=G19,G21,IF((J4&lt;K4),G19,(J4-K4)))</f>
        <v> </v>
      </c>
      <c r="M4" s="13" t="str">
        <f>IF(F4=G19,G21,F1+L4/G18)</f>
        <v> </v>
      </c>
    </row>
    <row r="5" spans="1:13" ht="19.5" customHeight="1">
      <c r="A5" s="14" t="s">
        <v>11</v>
      </c>
      <c r="B5" s="15">
        <v>368</v>
      </c>
      <c r="C5" s="157">
        <v>24</v>
      </c>
      <c r="D5" s="147"/>
      <c r="E5" s="107" t="str">
        <f>IF(G1=G23,G23,IF(D5=G21,G23,IF(D5&lt;G24,G23,IF(D5&gt;F1,G23,(F1-D5)*G18))))</f>
        <v>Impossible</v>
      </c>
      <c r="F5" s="17" t="str">
        <f>IF(E5=G23,G19,IF(E5&gt;F18,G19,G20))</f>
        <v>Erronée</v>
      </c>
      <c r="G5" s="18" t="str">
        <f>IF(F5=G19,G21,(D5+(C5/G18)))</f>
        <v> </v>
      </c>
      <c r="H5" s="19" t="str">
        <f>IF(F5=G19,G21,IF(E5&lt;E18,H17,H18))</f>
        <v> </v>
      </c>
      <c r="I5" s="20" t="str">
        <f>IF(F5=G19,G21,IF(E5&lt;E18,I17,I18))</f>
        <v> </v>
      </c>
      <c r="J5" s="111" t="str">
        <f>IF(F5=G19,G21,IF(E5&lt;E18,J17,J18))</f>
        <v> </v>
      </c>
      <c r="K5" s="111" t="str">
        <f>IF(F5=G19,G21,IF(E5&lt;E18,((3/2*E5)+18),(2*(E5-12))))</f>
        <v> </v>
      </c>
      <c r="L5" s="111" t="str">
        <f>IF(F5=G19,G21,IF((J5&lt;K5),G19,(J5-K5)))</f>
        <v> </v>
      </c>
      <c r="M5" s="22" t="str">
        <f>IF(F5=G19,G21,F1+L5/G18)</f>
        <v> </v>
      </c>
    </row>
    <row r="6" spans="1:13" ht="19.5" customHeight="1">
      <c r="A6" s="23" t="s">
        <v>12</v>
      </c>
      <c r="B6" s="24">
        <v>384</v>
      </c>
      <c r="C6" s="108">
        <v>24</v>
      </c>
      <c r="D6" s="146"/>
      <c r="E6" s="108" t="str">
        <f>IF(G1=G23,G23,IF(D6=G21,G23,IF(D6&lt;G24,G23,IF(D6&gt;F1,G23,(F1-D6)*G18))))</f>
        <v>Impossible</v>
      </c>
      <c r="F6" s="25" t="str">
        <f>IF(E6=G23,G19,IF(D6&gt;F1,G19,IF(E6&gt;F19,G19,G20)))</f>
        <v>Erronée</v>
      </c>
      <c r="G6" s="26" t="str">
        <f>IF(F6=G19,G21,(D6+(C6/G18)))</f>
        <v> </v>
      </c>
      <c r="H6" s="27" t="str">
        <f>IF(F6=G19,G21,IF(E6&lt;E19,H18,H19))</f>
        <v> </v>
      </c>
      <c r="I6" s="28" t="str">
        <f>IF(F6=G19,G21,IF(E6&lt;E19,I18,I19))</f>
        <v> </v>
      </c>
      <c r="J6" s="112" t="str">
        <f>IF(F6=G19,G21,IF(E6&lt;E19,J18,J19))</f>
        <v> </v>
      </c>
      <c r="K6" s="112" t="str">
        <f>IF(F6=G19,G21,IF(E6&lt;E19,((2*E6)+24),(4/3*(E6-6))))</f>
        <v> </v>
      </c>
      <c r="L6" s="112" t="str">
        <f>IF(F6=G19,G21,IF((J6&lt;K6),G19,(J6-K6)))</f>
        <v> </v>
      </c>
      <c r="M6" s="29" t="str">
        <f>IF(F6=G19,G21,F1+L6/G18)</f>
        <v> </v>
      </c>
    </row>
    <row r="7" spans="1:13" ht="19.5" customHeight="1">
      <c r="A7" s="14" t="s">
        <v>13</v>
      </c>
      <c r="B7" s="15">
        <v>405</v>
      </c>
      <c r="C7" s="157">
        <v>30</v>
      </c>
      <c r="D7" s="147"/>
      <c r="E7" s="107" t="str">
        <f>IF(G1=G23,G23,IF(D7=G21,G23,IF(D7&lt;G24,G23,IF(D7&gt;F1,G23,(F1-D7)*G18))))</f>
        <v>Impossible</v>
      </c>
      <c r="F7" s="17" t="str">
        <f>IF(E7=G23,G19,IF(E7&gt;F20,G19,G20))</f>
        <v>Erronée</v>
      </c>
      <c r="G7" s="18" t="str">
        <f>IF(F7=G19,G21,(D7+(C7/G18)))</f>
        <v> </v>
      </c>
      <c r="H7" s="19" t="str">
        <f>IF(F7=G19,G21,IF(E7&lt;E20,H19,H20))</f>
        <v> </v>
      </c>
      <c r="I7" s="20" t="str">
        <f>IF(F7=G19,G21,IF(E7&lt;E20,I19,I20))</f>
        <v> </v>
      </c>
      <c r="J7" s="111" t="str">
        <f>IF(F7=G19,G21,IF(E7&lt;E20,J19,J20))</f>
        <v> </v>
      </c>
      <c r="K7" s="111" t="str">
        <f>IF(F7=G19,G21,IF(E7&lt;E20,(E7+24),(E7-12)))</f>
        <v> </v>
      </c>
      <c r="L7" s="111" t="str">
        <f>IF(F7=G19,G21,IF((J7&lt;K7),G19,(J7-K7)))</f>
        <v> </v>
      </c>
      <c r="M7" s="22" t="str">
        <f>IF(F7=G19,G21,F1+L7/G18)</f>
        <v> </v>
      </c>
    </row>
    <row r="8" spans="1:13" s="67" customFormat="1" ht="19.5" customHeight="1">
      <c r="A8" s="68" t="s">
        <v>14</v>
      </c>
      <c r="B8" s="69">
        <v>420</v>
      </c>
      <c r="C8" s="109">
        <v>36</v>
      </c>
      <c r="D8" s="146"/>
      <c r="E8" s="109" t="str">
        <f>IF(G1=G23,G23,IF(D8=G21,G23,IF(D8&lt;G24,G23,IF(D8&gt;F1,G23,(F1-D8)*G18))))</f>
        <v>Impossible</v>
      </c>
      <c r="F8" s="70" t="str">
        <f>IF(E8=G23,G19,IF(E8&gt;F21,G19,G20))</f>
        <v>Erronée</v>
      </c>
      <c r="G8" s="71" t="str">
        <f>IF(F8=G19,G21,(D8+(C8/G18)))</f>
        <v> </v>
      </c>
      <c r="H8" s="72" t="str">
        <f>IF(F8=G19,G21,IF(E8&lt;E21,H20,H21))</f>
        <v> </v>
      </c>
      <c r="I8" s="73" t="str">
        <f>IF(F8=G19,G21,IF(E8&lt;E21,I20,I21))</f>
        <v> </v>
      </c>
      <c r="J8" s="113" t="str">
        <f>IF(F8=G19,G21,IF(E8&lt;E21,J20,J21))</f>
        <v> </v>
      </c>
      <c r="K8" s="113" t="str">
        <f>IF(F8=G19,G21,IF(E8&lt;18,(E8+18),IF(E8&lt;E21,F21,(E8-24))))</f>
        <v> </v>
      </c>
      <c r="L8" s="113" t="str">
        <f>IF(F8=G19,G21,IF((J8&lt;K8),G19,(J8-K8)))</f>
        <v> </v>
      </c>
      <c r="M8" s="74" t="str">
        <f>IF(F8=G19,G21,F1+L8/G18)</f>
        <v> </v>
      </c>
    </row>
    <row r="9" spans="1:13" ht="19.5" customHeight="1">
      <c r="A9" s="14" t="s">
        <v>15</v>
      </c>
      <c r="B9" s="15">
        <v>443</v>
      </c>
      <c r="C9" s="157">
        <v>36</v>
      </c>
      <c r="D9" s="147"/>
      <c r="E9" s="107" t="str">
        <f>IF(G1=G23,G23,IF(D9=G21,G23,IF(D9&lt;G24,G23,IF(D9&gt;F1,G23,(F1-D9)*G18))))</f>
        <v>Impossible</v>
      </c>
      <c r="F9" s="17" t="str">
        <f>IF(E9=G23,G19,IF(E9&gt;F22,G19,G20))</f>
        <v>Erronée</v>
      </c>
      <c r="G9" s="18" t="str">
        <f>IF(F9=G19,G21,(D9+(C9/G18)))</f>
        <v> </v>
      </c>
      <c r="H9" s="19" t="str">
        <f>IF(F9=G19,G21,IF(E9&lt;E22,H21,H22))</f>
        <v> </v>
      </c>
      <c r="I9" s="20" t="str">
        <f>IF(F9=G19,G21,IF(E9&lt;E22,I21,I22))</f>
        <v> </v>
      </c>
      <c r="J9" s="111" t="str">
        <f>IF(F9=G19,G21,IF(E9&lt;E22,J21,J22))</f>
        <v> </v>
      </c>
      <c r="K9" s="111" t="str">
        <f>IF(F9=G19,G21,IF(E9&lt;E22,((4/3*E9)+12),(4/3*(E9-18))))</f>
        <v> </v>
      </c>
      <c r="L9" s="111" t="str">
        <f>IF(F9=G19,G21,IF((J9&lt;K9),G19,(J9-K9)))</f>
        <v> </v>
      </c>
      <c r="M9" s="22" t="str">
        <f>IF(F9=G19,G21,F1+L9/G18)</f>
        <v> </v>
      </c>
    </row>
    <row r="10" spans="1:13" ht="19.5" customHeight="1">
      <c r="A10" s="23" t="s">
        <v>16</v>
      </c>
      <c r="B10" s="24">
        <v>465</v>
      </c>
      <c r="C10" s="108">
        <v>48</v>
      </c>
      <c r="D10" s="146"/>
      <c r="E10" s="108" t="str">
        <f>IF(G1=G23,G23,IF(D10=G21,G23,IF(D10&lt;G24,G23,IF(D10&gt;F1,G23,(F1-D10)*G18))))</f>
        <v>Impossible</v>
      </c>
      <c r="F10" s="25" t="str">
        <f>IF(E10=G23,G19,IF(E10&gt;F23,G19,G20))</f>
        <v>Erronée</v>
      </c>
      <c r="G10" s="26" t="str">
        <f>IF(F10=G19,G21,(D10+(C10/G18)))</f>
        <v> </v>
      </c>
      <c r="H10" s="27" t="str">
        <f>IF(F10=G19,G21,IF(E10&lt;E23,H22,H23))</f>
        <v> </v>
      </c>
      <c r="I10" s="28" t="str">
        <f>IF(F10=G19,G21,IF(E10&lt;E23,I22,I23))</f>
        <v> </v>
      </c>
      <c r="J10" s="112" t="str">
        <f>IF(F10=G19,G21,IF(E10&lt;E23,J22,J23))</f>
        <v> </v>
      </c>
      <c r="K10" s="112" t="str">
        <f>IF(F10=G19,G21,IF(E10&lt;E23,(E10+24),(E10-24)))</f>
        <v> </v>
      </c>
      <c r="L10" s="112" t="str">
        <f>IF(F10=G19,G21,IF((J10&lt;K10),G19,(J10-K10)))</f>
        <v> </v>
      </c>
      <c r="M10" s="29" t="str">
        <f>IF(F10=G19,G21,F1+L10/G18)</f>
        <v> </v>
      </c>
    </row>
    <row r="11" spans="1:13" ht="19.5" customHeight="1">
      <c r="A11" s="159" t="s">
        <v>17</v>
      </c>
      <c r="B11" s="160">
        <v>489</v>
      </c>
      <c r="C11" s="161" t="s">
        <v>18</v>
      </c>
      <c r="D11" s="176"/>
      <c r="E11" s="162" t="str">
        <f>IF(G1=G23,G23,IF(D11=G21,G23,IF(D11&lt;G24,G23,IF(D11&gt;F1,G23,(F1-D11)*G18))))</f>
        <v>Impossible</v>
      </c>
      <c r="F11" s="163" t="str">
        <f>IF(E11=G23,G19,IF(E11&gt;F24,G19,G20))</f>
        <v>Erronée</v>
      </c>
      <c r="G11" s="164" t="str">
        <f>IF(F10=G19,G21,"-")</f>
        <v> </v>
      </c>
      <c r="H11" s="165" t="str">
        <f>IF(F11=G19,G21,IF(E11&lt;E24,H23,H24))</f>
        <v> </v>
      </c>
      <c r="I11" s="166" t="str">
        <f>IF(F11=G19,G21,IF(E11&lt;E24,I23,I24))</f>
        <v> </v>
      </c>
      <c r="J11" s="167" t="str">
        <f>IF(F11=G19,G21,IF(E11&lt;E24,J23,J24))</f>
        <v> </v>
      </c>
      <c r="K11" s="167" t="str">
        <f>IF(F11=G19,G21,IF(E11&lt;E24,(E11+24),G22))</f>
        <v> </v>
      </c>
      <c r="L11" s="167" t="str">
        <f>IF(F11=G19,G21,IF(F11=G23,G21,IF(H11=H24,J24,IF(H11=H23,IF((J11&lt;K11),G19,(J11-K11)),G19))))</f>
        <v> </v>
      </c>
      <c r="M11" s="168" t="str">
        <f>IF(F11=G19,G21,IF(H11=H24,J24,IF(H11=H23,F1+L11/G18,G19)))</f>
        <v> </v>
      </c>
    </row>
    <row r="12" spans="1:13" ht="19.5" customHeight="1" hidden="1">
      <c r="A12" s="169"/>
      <c r="B12" s="169"/>
      <c r="C12" s="154">
        <v>40817</v>
      </c>
      <c r="D12" s="170"/>
      <c r="E12" s="171"/>
      <c r="F12" s="171"/>
      <c r="G12" s="169"/>
      <c r="H12" s="172"/>
      <c r="I12" s="173"/>
      <c r="J12" s="172"/>
      <c r="K12" s="172"/>
      <c r="L12" s="172"/>
      <c r="M12" s="174"/>
    </row>
    <row r="13" spans="1:13" ht="19.5" customHeight="1" hidden="1">
      <c r="A13" s="15"/>
      <c r="B13" s="15"/>
      <c r="C13" s="155">
        <v>40725</v>
      </c>
      <c r="D13" s="16"/>
      <c r="E13" s="17"/>
      <c r="F13" s="17"/>
      <c r="G13" s="15"/>
      <c r="H13" s="21"/>
      <c r="I13" s="20"/>
      <c r="J13" s="21"/>
      <c r="K13" s="21"/>
      <c r="L13" s="21"/>
      <c r="M13" s="75"/>
    </row>
    <row r="14" spans="1:13" ht="19.5" customHeight="1" hidden="1">
      <c r="A14" s="15"/>
      <c r="B14" s="15"/>
      <c r="C14" s="155">
        <v>40634</v>
      </c>
      <c r="D14" s="16"/>
      <c r="E14" s="17"/>
      <c r="F14" s="17"/>
      <c r="G14" s="15"/>
      <c r="H14" s="21"/>
      <c r="I14" s="20"/>
      <c r="J14" s="21"/>
      <c r="K14" s="21"/>
      <c r="L14" s="21"/>
      <c r="M14" s="75"/>
    </row>
    <row r="15" spans="1:13" ht="19.5" customHeight="1" hidden="1">
      <c r="A15" s="15"/>
      <c r="B15" s="15"/>
      <c r="C15" s="155">
        <v>40544</v>
      </c>
      <c r="D15" s="16"/>
      <c r="E15" s="17"/>
      <c r="F15" s="17"/>
      <c r="G15" s="15"/>
      <c r="H15" s="21"/>
      <c r="I15" s="20"/>
      <c r="J15" s="21"/>
      <c r="K15" s="21"/>
      <c r="L15" s="21"/>
      <c r="M15" s="75"/>
    </row>
    <row r="16" spans="1:13" ht="19.5" customHeight="1" hidden="1">
      <c r="A16" s="15"/>
      <c r="B16" s="15"/>
      <c r="C16" s="155">
        <v>40452</v>
      </c>
      <c r="D16" s="16"/>
      <c r="E16" s="17"/>
      <c r="F16" s="17"/>
      <c r="G16" s="15"/>
      <c r="H16" s="21"/>
      <c r="I16" s="20"/>
      <c r="J16" s="21"/>
      <c r="K16" s="21"/>
      <c r="L16" s="21"/>
      <c r="M16" s="75"/>
    </row>
    <row r="17" spans="3:10" ht="15.75" hidden="1">
      <c r="C17" s="155">
        <v>40360</v>
      </c>
      <c r="D17" s="84" t="s">
        <v>19</v>
      </c>
      <c r="E17" s="85">
        <v>0</v>
      </c>
      <c r="F17" s="85">
        <v>18</v>
      </c>
      <c r="G17" s="118">
        <v>40909</v>
      </c>
      <c r="H17" s="86" t="s">
        <v>20</v>
      </c>
      <c r="I17" s="85">
        <v>375</v>
      </c>
      <c r="J17" s="87">
        <v>36</v>
      </c>
    </row>
    <row r="18" spans="3:10" ht="15.75" hidden="1">
      <c r="C18" s="155">
        <v>40269</v>
      </c>
      <c r="D18" s="88" t="s">
        <v>21</v>
      </c>
      <c r="E18" s="89">
        <v>12</v>
      </c>
      <c r="F18" s="89">
        <v>24</v>
      </c>
      <c r="G18" s="119">
        <f>12/365.25</f>
        <v>0.03285420944558522</v>
      </c>
      <c r="H18" s="83" t="s">
        <v>22</v>
      </c>
      <c r="I18" s="89">
        <v>390</v>
      </c>
      <c r="J18" s="90">
        <v>36</v>
      </c>
    </row>
    <row r="19" spans="3:10" ht="15.75" hidden="1">
      <c r="C19" s="155">
        <v>40179</v>
      </c>
      <c r="D19" s="88" t="s">
        <v>23</v>
      </c>
      <c r="E19" s="89">
        <v>6</v>
      </c>
      <c r="F19" s="89">
        <v>24</v>
      </c>
      <c r="G19" s="119" t="s">
        <v>46</v>
      </c>
      <c r="H19" s="83" t="s">
        <v>24</v>
      </c>
      <c r="I19" s="89">
        <v>405</v>
      </c>
      <c r="J19" s="90">
        <v>36</v>
      </c>
    </row>
    <row r="20" spans="3:10" ht="15.75" hidden="1">
      <c r="C20" s="155">
        <v>40087</v>
      </c>
      <c r="D20" s="88" t="s">
        <v>25</v>
      </c>
      <c r="E20" s="89">
        <v>12</v>
      </c>
      <c r="F20" s="89">
        <v>30</v>
      </c>
      <c r="G20" s="119" t="s">
        <v>47</v>
      </c>
      <c r="H20" s="83" t="s">
        <v>26</v>
      </c>
      <c r="I20" s="89">
        <v>425</v>
      </c>
      <c r="J20" s="90">
        <v>36</v>
      </c>
    </row>
    <row r="21" spans="3:10" ht="15.75" hidden="1">
      <c r="C21" s="155">
        <v>39995</v>
      </c>
      <c r="D21" s="88" t="s">
        <v>27</v>
      </c>
      <c r="E21" s="89">
        <v>24</v>
      </c>
      <c r="F21" s="89">
        <v>36</v>
      </c>
      <c r="G21" s="119" t="s">
        <v>28</v>
      </c>
      <c r="H21" s="83" t="s">
        <v>29</v>
      </c>
      <c r="I21" s="89">
        <v>445</v>
      </c>
      <c r="J21" s="90">
        <v>36</v>
      </c>
    </row>
    <row r="22" spans="3:10" ht="15.75" hidden="1">
      <c r="C22" s="155">
        <v>39904</v>
      </c>
      <c r="D22" s="88" t="s">
        <v>30</v>
      </c>
      <c r="E22" s="89">
        <v>18</v>
      </c>
      <c r="F22" s="89">
        <v>36</v>
      </c>
      <c r="G22" s="119">
        <v>0</v>
      </c>
      <c r="H22" s="83" t="s">
        <v>31</v>
      </c>
      <c r="I22" s="89">
        <v>468</v>
      </c>
      <c r="J22" s="90">
        <v>48</v>
      </c>
    </row>
    <row r="23" spans="3:10" ht="15.75" hidden="1">
      <c r="C23" s="155">
        <v>39814</v>
      </c>
      <c r="D23" s="88" t="s">
        <v>32</v>
      </c>
      <c r="E23" s="89">
        <v>24</v>
      </c>
      <c r="F23" s="89">
        <v>48</v>
      </c>
      <c r="G23" s="119" t="s">
        <v>85</v>
      </c>
      <c r="H23" s="83" t="s">
        <v>33</v>
      </c>
      <c r="I23" s="89">
        <v>491</v>
      </c>
      <c r="J23" s="90">
        <v>48</v>
      </c>
    </row>
    <row r="24" spans="3:10" ht="15.75" hidden="1">
      <c r="C24" s="155">
        <v>39722</v>
      </c>
      <c r="D24" s="91" t="s">
        <v>34</v>
      </c>
      <c r="E24" s="92">
        <v>24</v>
      </c>
      <c r="F24" s="92">
        <v>500</v>
      </c>
      <c r="G24" s="120">
        <v>25000</v>
      </c>
      <c r="H24" s="93" t="s">
        <v>35</v>
      </c>
      <c r="I24" s="92">
        <v>515</v>
      </c>
      <c r="J24" s="94" t="s">
        <v>18</v>
      </c>
    </row>
    <row r="25" ht="15.75" hidden="1">
      <c r="C25" s="155">
        <v>39630</v>
      </c>
    </row>
    <row r="26" ht="15.75" hidden="1">
      <c r="C26" s="155">
        <v>39539</v>
      </c>
    </row>
    <row r="27" ht="15.75" hidden="1">
      <c r="C27" s="155">
        <v>39448</v>
      </c>
    </row>
    <row r="28" ht="15.75" hidden="1">
      <c r="C28" s="156">
        <v>39356</v>
      </c>
    </row>
    <row r="29" ht="15">
      <c r="F29" s="66"/>
    </row>
  </sheetData>
  <sheetProtection password="EBE6" sheet="1" objects="1" scenarios="1" selectLockedCells="1"/>
  <mergeCells count="4">
    <mergeCell ref="A1:E1"/>
    <mergeCell ref="H1:M1"/>
    <mergeCell ref="A2:G2"/>
    <mergeCell ref="H2:M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82" r:id="rId1"/>
  <headerFooter alignWithMargins="0">
    <oddHeader>&amp;C&amp;A</oddHeader>
    <oddFooter>&amp;LCGT-INRA&amp;CIntégration de TRSU en TRSU-NES&amp;R&amp;D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1">
      <selection activeCell="F1" sqref="F1"/>
    </sheetView>
  </sheetViews>
  <sheetFormatPr defaultColWidth="11.421875" defaultRowHeight="12.75"/>
  <cols>
    <col min="1" max="1" width="7.00390625" style="30" customWidth="1"/>
    <col min="2" max="2" width="5.140625" style="30" customWidth="1"/>
    <col min="3" max="3" width="14.421875" style="30" customWidth="1"/>
    <col min="4" max="4" width="20.00390625" style="30" customWidth="1"/>
    <col min="5" max="5" width="17.140625" style="30" customWidth="1"/>
    <col min="6" max="6" width="16.7109375" style="30" customWidth="1"/>
    <col min="7" max="7" width="18.00390625" style="30" customWidth="1"/>
    <col min="8" max="9" width="7.140625" style="30" customWidth="1"/>
    <col min="10" max="10" width="14.57421875" style="30" customWidth="1"/>
    <col min="11" max="11" width="14.7109375" style="31" customWidth="1"/>
    <col min="12" max="12" width="14.8515625" style="31" customWidth="1"/>
    <col min="13" max="13" width="16.8515625" style="31" customWidth="1"/>
    <col min="14" max="16384" width="11.421875" style="30" customWidth="1"/>
  </cols>
  <sheetData>
    <row r="1" spans="1:13" ht="19.5" customHeight="1">
      <c r="A1" s="194" t="s">
        <v>2</v>
      </c>
      <c r="B1" s="194"/>
      <c r="C1" s="194"/>
      <c r="D1" s="194"/>
      <c r="E1" s="194"/>
      <c r="F1" s="3">
        <v>40909</v>
      </c>
      <c r="G1" s="193" t="str">
        <f>IF(F1&lt;G17,G23,G20)</f>
        <v>Validée</v>
      </c>
      <c r="H1" s="198" t="s">
        <v>110</v>
      </c>
      <c r="I1" s="198"/>
      <c r="J1" s="198"/>
      <c r="K1" s="198"/>
      <c r="L1" s="198"/>
      <c r="M1" s="199"/>
    </row>
    <row r="2" spans="1:13" ht="19.5" customHeight="1">
      <c r="A2" s="200" t="s">
        <v>36</v>
      </c>
      <c r="B2" s="200"/>
      <c r="C2" s="200"/>
      <c r="D2" s="200"/>
      <c r="E2" s="200"/>
      <c r="F2" s="200"/>
      <c r="G2" s="200"/>
      <c r="H2" s="201" t="s">
        <v>37</v>
      </c>
      <c r="I2" s="201"/>
      <c r="J2" s="201"/>
      <c r="K2" s="201"/>
      <c r="L2" s="201"/>
      <c r="M2" s="201"/>
    </row>
    <row r="3" spans="1:13" ht="79.5" customHeight="1">
      <c r="A3" s="32" t="s">
        <v>5</v>
      </c>
      <c r="B3" s="32" t="s">
        <v>6</v>
      </c>
      <c r="C3" s="4" t="s">
        <v>86</v>
      </c>
      <c r="D3" s="158" t="s">
        <v>7</v>
      </c>
      <c r="E3" s="4" t="s">
        <v>87</v>
      </c>
      <c r="F3" s="4" t="s">
        <v>45</v>
      </c>
      <c r="G3" s="4" t="s">
        <v>8</v>
      </c>
      <c r="H3" s="5" t="s">
        <v>5</v>
      </c>
      <c r="I3" s="5" t="s">
        <v>6</v>
      </c>
      <c r="J3" s="5" t="s">
        <v>88</v>
      </c>
      <c r="K3" s="6" t="s">
        <v>89</v>
      </c>
      <c r="L3" s="5" t="s">
        <v>90</v>
      </c>
      <c r="M3" s="5" t="s">
        <v>9</v>
      </c>
    </row>
    <row r="4" spans="1:13" ht="19.5" customHeight="1">
      <c r="A4" s="33" t="s">
        <v>38</v>
      </c>
      <c r="B4" s="34">
        <v>377</v>
      </c>
      <c r="C4" s="177">
        <v>24</v>
      </c>
      <c r="D4" s="175"/>
      <c r="E4" s="106" t="str">
        <f>IF(G1=G23,G23,IF(D4=G21,G24,IF(D4&lt;G24,G23,IF(D4&gt;F1,G23,(F1-D4)*G18))))</f>
        <v>Impossible</v>
      </c>
      <c r="F4" s="35" t="str">
        <f>IF(E4=G23,G19,IF(E4&gt;F17,G19,G20))</f>
        <v>Erronée</v>
      </c>
      <c r="G4" s="36" t="str">
        <f>IF(F4=G19,G21,(D4+(C4/G18)))</f>
        <v> </v>
      </c>
      <c r="H4" s="37" t="str">
        <f>IF(F4=G19,G21,H17)</f>
        <v> </v>
      </c>
      <c r="I4" s="60" t="str">
        <f>IF(F4=G19,G21,I17)</f>
        <v> </v>
      </c>
      <c r="J4" s="182" t="str">
        <f>IF(F4=G19,G21,J17)</f>
        <v> </v>
      </c>
      <c r="K4" s="182" t="str">
        <f>IF(F4=G19,G21,E4)</f>
        <v> </v>
      </c>
      <c r="L4" s="182" t="str">
        <f>IF(F4=G19,G21,IF((J4&lt;K4),G21,(J4-K4)))</f>
        <v> </v>
      </c>
      <c r="M4" s="38" t="str">
        <f>IF(F4=G19,G21,(F1+L4/G18))</f>
        <v> </v>
      </c>
    </row>
    <row r="5" spans="1:13" ht="19.5" customHeight="1">
      <c r="A5" s="39" t="s">
        <v>39</v>
      </c>
      <c r="B5" s="40">
        <v>397</v>
      </c>
      <c r="C5" s="178">
        <v>30</v>
      </c>
      <c r="D5" s="147"/>
      <c r="E5" s="107" t="str">
        <f>IF(G1=G23,G23,IF(D5=G21,G23,IF(D5&lt;G24,G23,IF(D5&gt;F1,G23,(F1-D5)*G18))))</f>
        <v>Impossible</v>
      </c>
      <c r="F5" s="58" t="str">
        <f>IF(E5=G23,G19,IF(E5&gt;F18,G19,G20))</f>
        <v>Erronée</v>
      </c>
      <c r="G5" s="41" t="str">
        <f>IF(F5=G19,G21,(D5+(C5/G18)))</f>
        <v> </v>
      </c>
      <c r="H5" s="42" t="str">
        <f>IF(F5=G19,G21,IF(E5&lt;E18,H18,H19))</f>
        <v> </v>
      </c>
      <c r="I5" s="61" t="str">
        <f>IF(F5=G19,G21,IF(H5=H18,I18,I19))</f>
        <v> </v>
      </c>
      <c r="J5" s="183" t="str">
        <f>IF(F5=G19,G21,IF(H5=H18,J18,J19))</f>
        <v> </v>
      </c>
      <c r="K5" s="183" t="str">
        <f>IF(F5=G19,G21,IF(E5&lt;E18,(2*E5),(4/3*(E5-12))))</f>
        <v> </v>
      </c>
      <c r="L5" s="183" t="str">
        <f>IF(F5=G19,G21,IF((J5&lt;K5),G21,(J5-K5)))</f>
        <v> </v>
      </c>
      <c r="M5" s="44" t="str">
        <f>IF(F5=G19,G21,(F1+L5/G18))</f>
        <v> </v>
      </c>
    </row>
    <row r="6" spans="1:13" ht="19.5" customHeight="1">
      <c r="A6" s="45" t="s">
        <v>40</v>
      </c>
      <c r="B6" s="46">
        <v>421</v>
      </c>
      <c r="C6" s="179">
        <v>30</v>
      </c>
      <c r="D6" s="146"/>
      <c r="E6" s="108" t="str">
        <f>IF(G1=G23,G23,IF(D6=G21,G23,IF(D6&lt;G24,G23,IF(D6&gt;F1,G23,(F1-D6)*G18))))</f>
        <v>Impossible</v>
      </c>
      <c r="F6" s="52" t="str">
        <f>IF(E6=G23,G19,IF(E6&gt;F19,G19,G20))</f>
        <v>Erronée</v>
      </c>
      <c r="G6" s="47" t="str">
        <f>IF(F6=G19,G21,(D6+(C6/G18)))</f>
        <v> </v>
      </c>
      <c r="H6" s="48" t="str">
        <f>IF(F6=G19,G21,H20)</f>
        <v> </v>
      </c>
      <c r="I6" s="62" t="str">
        <f>IF(F6=G19,G21,I20)</f>
        <v> </v>
      </c>
      <c r="J6" s="184" t="str">
        <f>IF(F6=G19,G21,J20)</f>
        <v> </v>
      </c>
      <c r="K6" s="184" t="str">
        <f>IF(F6=G19,G21,(2/5*E6))</f>
        <v> </v>
      </c>
      <c r="L6" s="184" t="str">
        <f>IF(F6=G19,G21,IF((J6&lt;K6),G21,(J6-K6)))</f>
        <v> </v>
      </c>
      <c r="M6" s="49" t="str">
        <f>IF(F6=G19,G21,(F1+L6/G18))</f>
        <v> </v>
      </c>
    </row>
    <row r="7" spans="1:13" ht="19.5" customHeight="1">
      <c r="A7" s="50" t="s">
        <v>41</v>
      </c>
      <c r="B7" s="40">
        <v>445</v>
      </c>
      <c r="C7" s="178">
        <v>36</v>
      </c>
      <c r="D7" s="147"/>
      <c r="E7" s="107" t="str">
        <f>IF(G1=G23,G23,IF(D7=G21,G23,IF(D7&lt;G24,G23,IF(D7&gt;F1,G23,(F1-D7)*G18))))</f>
        <v>Impossible</v>
      </c>
      <c r="F7" s="51" t="str">
        <f>IF(E7=G23,G19,IF(E7&gt;F20,G19,G20))</f>
        <v>Erronée</v>
      </c>
      <c r="G7" s="41" t="str">
        <f>IF(F7=G19,G21,(D7+(C7/G18)))</f>
        <v> </v>
      </c>
      <c r="H7" s="42" t="str">
        <f>IF(F7=G19,G21,IF(E7&lt;E20,H20,H21))</f>
        <v> </v>
      </c>
      <c r="I7" s="61" t="str">
        <f>IF(F7=G19,G21,IF(H7=H20,I20,I21))</f>
        <v> </v>
      </c>
      <c r="J7" s="183" t="str">
        <f>IF(F7=G19,G21,IF(H7=H20,J20,J21))</f>
        <v> </v>
      </c>
      <c r="K7" s="183" t="str">
        <f>IF(F7=G19,G21,IF(E7&lt;E20,(E7+12),(E7-12)))</f>
        <v> </v>
      </c>
      <c r="L7" s="183" t="str">
        <f>IF(F7=G19,G21,IF((J7&lt;K7),G21,(J7-K7)))</f>
        <v> </v>
      </c>
      <c r="M7" s="44" t="str">
        <f>IF(F7=G19,G21,(F1+L7/G18))</f>
        <v> </v>
      </c>
    </row>
    <row r="8" spans="1:13" ht="19.5" customHeight="1">
      <c r="A8" s="45" t="s">
        <v>42</v>
      </c>
      <c r="B8" s="46">
        <v>467</v>
      </c>
      <c r="C8" s="179">
        <v>36</v>
      </c>
      <c r="D8" s="146"/>
      <c r="E8" s="108" t="str">
        <f>IF(G1=G23,G23,IF(D8=G21,G23,IF(D8&lt;G24,G23,IF(D8&gt;F1,G23,(F1-D8)*G18))))</f>
        <v>Impossible</v>
      </c>
      <c r="F8" s="52" t="str">
        <f>IF(E8=G23,G19,IF(E8&gt;F21,G19,G20))</f>
        <v>Erronée</v>
      </c>
      <c r="G8" s="47" t="str">
        <f>IF(F8=G19,G21,(D8+(C8/G18)))</f>
        <v> </v>
      </c>
      <c r="H8" s="48" t="str">
        <f>IF(F8=G19,G21,IF(E8&lt;E21,H21,H22))</f>
        <v> </v>
      </c>
      <c r="I8" s="62" t="str">
        <f>IF(F8=G19,G21,IF(H8=H21,I21,I22))</f>
        <v> </v>
      </c>
      <c r="J8" s="184" t="str">
        <f>IF(F8=G19,G21,IF(H8=H21,J21,J22))</f>
        <v> </v>
      </c>
      <c r="K8" s="184" t="str">
        <f>IF(F8=G19,G21,IF(E8&lt;E21,(E8+24),(E8-12)))</f>
        <v> </v>
      </c>
      <c r="L8" s="184" t="str">
        <f>IF(F8=G19,G21,IF((J8&lt;K8),G21,(J8-K8)))</f>
        <v> </v>
      </c>
      <c r="M8" s="49" t="str">
        <f>IF(F8=G19,G21,(F1+L8/G18))</f>
        <v> </v>
      </c>
    </row>
    <row r="9" spans="1:13" ht="19.5" customHeight="1">
      <c r="A9" s="50" t="s">
        <v>43</v>
      </c>
      <c r="B9" s="40">
        <v>490</v>
      </c>
      <c r="C9" s="178">
        <v>48</v>
      </c>
      <c r="D9" s="147"/>
      <c r="E9" s="107" t="str">
        <f>IF(G1=G23,G23,IF(D9=G21,G23,IF(D9&lt;G24,G23,IF(D9&gt;F1,G23,(F1-D9)*G18))))</f>
        <v>Impossible</v>
      </c>
      <c r="F9" s="51" t="str">
        <f>IF(E9=G23,G19,IF(E9&gt;F22,G19,G20))</f>
        <v>Erronée</v>
      </c>
      <c r="G9" s="41" t="str">
        <f>IF(F9=G19,G21,(D9+(C9/G18)))</f>
        <v> </v>
      </c>
      <c r="H9" s="42" t="str">
        <f>IF(F9=G19,G21,H22)</f>
        <v> </v>
      </c>
      <c r="I9" s="61" t="str">
        <f>IF(F9=G19,G21,I22)</f>
        <v> </v>
      </c>
      <c r="J9" s="183" t="str">
        <f>IF(F9=G19,G21,J22)</f>
        <v> </v>
      </c>
      <c r="K9" s="183" t="str">
        <f>IF(F9=G19,G21,((E9/4)+24))</f>
        <v> </v>
      </c>
      <c r="L9" s="183" t="str">
        <f>IF(F9=G19,G21,IF((J9&lt;K9),G21,(J9-K9)))</f>
        <v> </v>
      </c>
      <c r="M9" s="44" t="str">
        <f>IF(F9=G19,G21,(F1+L9/G18))</f>
        <v> </v>
      </c>
    </row>
    <row r="10" spans="1:13" ht="19.5" customHeight="1">
      <c r="A10" s="55" t="s">
        <v>44</v>
      </c>
      <c r="B10" s="56">
        <v>514</v>
      </c>
      <c r="C10" s="180" t="s">
        <v>18</v>
      </c>
      <c r="D10" s="148"/>
      <c r="E10" s="181" t="str">
        <f>IF(G1=G23,G23,IF(D10=G21,G23,IF(D10&lt;G24,G23,IF(D10&gt;F1,G23,(F1-D10)*G18))))</f>
        <v>Impossible</v>
      </c>
      <c r="F10" s="54" t="str">
        <f>IF(E10=G23,G19,IF(E10&gt;F23,G23,G20))</f>
        <v>Erronée</v>
      </c>
      <c r="G10" s="57" t="str">
        <f>IF(F10=G19,G21,("-"))</f>
        <v> </v>
      </c>
      <c r="H10" s="59" t="str">
        <f>IF(F10=G19,G21,IF(F10=G23,G21,IF(E10&lt;E23,H23,H24)))</f>
        <v> </v>
      </c>
      <c r="I10" s="63" t="str">
        <f>IF(F10=G19,G21,IF(F10=G23,G21,IF(H10=H23,I23,I24)))</f>
        <v> </v>
      </c>
      <c r="J10" s="185" t="str">
        <f>IF(F10=G19,G21,IF(F10=G23,G21,IF(H10=H23,J23,J24)))</f>
        <v> </v>
      </c>
      <c r="K10" s="185" t="str">
        <f>IF(F10=G19,G21,IF(E10&lt;E23,E10,G22))</f>
        <v> </v>
      </c>
      <c r="L10" s="185" t="str">
        <f>IF(F10=G19,G21,IF(F10=G23,G21,IF((J10&lt;K10),G21,(J10-K10))))</f>
        <v> </v>
      </c>
      <c r="M10" s="186" t="str">
        <f>IF(F10=G19,G21,(F1+L10/G18))</f>
        <v> </v>
      </c>
    </row>
    <row r="11" spans="1:13" s="80" customFormat="1" ht="19.5" customHeight="1" hidden="1">
      <c r="A11" s="76"/>
      <c r="B11" s="76"/>
      <c r="C11" s="154">
        <v>40817</v>
      </c>
      <c r="D11" s="16"/>
      <c r="E11" s="17"/>
      <c r="F11" s="58"/>
      <c r="G11" s="76"/>
      <c r="H11" s="77"/>
      <c r="I11" s="78"/>
      <c r="J11" s="77"/>
      <c r="K11" s="77"/>
      <c r="L11" s="77"/>
      <c r="M11" s="79"/>
    </row>
    <row r="12" spans="1:13" s="80" customFormat="1" ht="19.5" customHeight="1" hidden="1">
      <c r="A12" s="76"/>
      <c r="B12" s="76"/>
      <c r="C12" s="155">
        <v>40725</v>
      </c>
      <c r="D12" s="16"/>
      <c r="E12" s="17"/>
      <c r="F12" s="58"/>
      <c r="G12" s="76"/>
      <c r="H12" s="77"/>
      <c r="I12" s="78"/>
      <c r="J12" s="77"/>
      <c r="K12" s="77"/>
      <c r="L12" s="77"/>
      <c r="M12" s="79"/>
    </row>
    <row r="13" spans="1:13" s="80" customFormat="1" ht="19.5" customHeight="1" hidden="1">
      <c r="A13" s="76"/>
      <c r="B13" s="76"/>
      <c r="C13" s="155">
        <v>40634</v>
      </c>
      <c r="D13" s="16"/>
      <c r="E13" s="17"/>
      <c r="F13" s="58"/>
      <c r="G13" s="76"/>
      <c r="H13" s="77"/>
      <c r="I13" s="78"/>
      <c r="J13" s="77"/>
      <c r="K13" s="77"/>
      <c r="L13" s="77"/>
      <c r="M13" s="79"/>
    </row>
    <row r="14" spans="1:13" s="80" customFormat="1" ht="19.5" customHeight="1" hidden="1">
      <c r="A14" s="76"/>
      <c r="B14" s="76"/>
      <c r="C14" s="155">
        <v>40544</v>
      </c>
      <c r="D14" s="16"/>
      <c r="E14" s="17"/>
      <c r="F14" s="58"/>
      <c r="G14" s="76"/>
      <c r="H14" s="77"/>
      <c r="I14" s="78"/>
      <c r="J14" s="77"/>
      <c r="K14" s="77"/>
      <c r="L14" s="77"/>
      <c r="M14" s="79"/>
    </row>
    <row r="15" spans="1:13" s="80" customFormat="1" ht="19.5" customHeight="1" hidden="1">
      <c r="A15" s="76"/>
      <c r="B15" s="76"/>
      <c r="C15" s="155">
        <v>40452</v>
      </c>
      <c r="D15" s="16"/>
      <c r="E15" s="17"/>
      <c r="F15" s="58"/>
      <c r="G15" s="76"/>
      <c r="H15" s="77"/>
      <c r="I15" s="78"/>
      <c r="J15" s="77"/>
      <c r="K15" s="77"/>
      <c r="L15" s="77"/>
      <c r="M15" s="79"/>
    </row>
    <row r="16" spans="1:13" s="80" customFormat="1" ht="19.5" customHeight="1" hidden="1">
      <c r="A16" s="76"/>
      <c r="B16" s="76"/>
      <c r="C16" s="155">
        <v>40360</v>
      </c>
      <c r="D16" s="16"/>
      <c r="E16" s="17"/>
      <c r="F16" s="58"/>
      <c r="G16" s="76"/>
      <c r="H16" s="77"/>
      <c r="I16" s="78"/>
      <c r="J16" s="77"/>
      <c r="K16" s="77"/>
      <c r="L16" s="77"/>
      <c r="M16" s="79"/>
    </row>
    <row r="17" spans="1:13" ht="19.5" customHeight="1" hidden="1">
      <c r="A17" s="40"/>
      <c r="B17" s="40"/>
      <c r="C17" s="155">
        <v>40269</v>
      </c>
      <c r="D17" s="84" t="s">
        <v>38</v>
      </c>
      <c r="E17" s="85">
        <v>0</v>
      </c>
      <c r="F17" s="85">
        <v>24</v>
      </c>
      <c r="G17" s="82">
        <v>40909</v>
      </c>
      <c r="H17" s="86" t="s">
        <v>48</v>
      </c>
      <c r="I17" s="85">
        <v>395</v>
      </c>
      <c r="J17" s="87">
        <v>24</v>
      </c>
      <c r="K17" s="43"/>
      <c r="L17" s="43"/>
      <c r="M17" s="53"/>
    </row>
    <row r="18" spans="3:10" ht="15.75" hidden="1">
      <c r="C18" s="155">
        <v>40179</v>
      </c>
      <c r="D18" s="88" t="s">
        <v>39</v>
      </c>
      <c r="E18" s="89">
        <v>12</v>
      </c>
      <c r="F18" s="89">
        <v>30</v>
      </c>
      <c r="G18" s="83">
        <f>12/365.25</f>
        <v>0.03285420944558522</v>
      </c>
      <c r="H18" s="83" t="s">
        <v>49</v>
      </c>
      <c r="I18" s="89">
        <v>410</v>
      </c>
      <c r="J18" s="90">
        <v>24</v>
      </c>
    </row>
    <row r="19" spans="3:10" ht="15.75" hidden="1">
      <c r="C19" s="155">
        <v>40087</v>
      </c>
      <c r="D19" s="88" t="s">
        <v>40</v>
      </c>
      <c r="E19" s="89">
        <v>0</v>
      </c>
      <c r="F19" s="89">
        <v>30</v>
      </c>
      <c r="G19" s="83" t="s">
        <v>46</v>
      </c>
      <c r="H19" s="83" t="s">
        <v>50</v>
      </c>
      <c r="I19" s="89">
        <v>428</v>
      </c>
      <c r="J19" s="90">
        <v>24</v>
      </c>
    </row>
    <row r="20" spans="3:10" ht="15.75" hidden="1">
      <c r="C20" s="155">
        <v>39995</v>
      </c>
      <c r="D20" s="88" t="s">
        <v>41</v>
      </c>
      <c r="E20" s="89">
        <v>12</v>
      </c>
      <c r="F20" s="89">
        <v>36</v>
      </c>
      <c r="G20" s="83" t="s">
        <v>47</v>
      </c>
      <c r="H20" s="83" t="s">
        <v>51</v>
      </c>
      <c r="I20" s="89">
        <v>449</v>
      </c>
      <c r="J20" s="90">
        <v>24</v>
      </c>
    </row>
    <row r="21" spans="3:11" ht="15.75" hidden="1">
      <c r="C21" s="155">
        <v>39904</v>
      </c>
      <c r="D21" s="88" t="s">
        <v>42</v>
      </c>
      <c r="E21" s="89">
        <v>12</v>
      </c>
      <c r="F21" s="89">
        <v>36</v>
      </c>
      <c r="G21" s="83" t="s">
        <v>28</v>
      </c>
      <c r="H21" s="83" t="s">
        <v>52</v>
      </c>
      <c r="I21" s="89">
        <v>471</v>
      </c>
      <c r="J21" s="90">
        <v>36</v>
      </c>
      <c r="K21" s="64"/>
    </row>
    <row r="22" spans="3:11" ht="15.75" hidden="1">
      <c r="C22" s="155">
        <v>39814</v>
      </c>
      <c r="D22" s="88" t="s">
        <v>43</v>
      </c>
      <c r="E22" s="89">
        <v>0</v>
      </c>
      <c r="F22" s="89">
        <v>48</v>
      </c>
      <c r="G22" s="83">
        <v>0</v>
      </c>
      <c r="H22" s="83" t="s">
        <v>53</v>
      </c>
      <c r="I22" s="89">
        <v>494</v>
      </c>
      <c r="J22" s="90">
        <v>36</v>
      </c>
      <c r="K22" s="65"/>
    </row>
    <row r="23" spans="3:10" ht="15.75" hidden="1">
      <c r="C23" s="155">
        <v>39722</v>
      </c>
      <c r="D23" s="88" t="s">
        <v>44</v>
      </c>
      <c r="E23" s="89">
        <v>36</v>
      </c>
      <c r="F23" s="89">
        <v>500</v>
      </c>
      <c r="G23" s="83" t="s">
        <v>85</v>
      </c>
      <c r="H23" s="83" t="s">
        <v>54</v>
      </c>
      <c r="I23" s="89">
        <v>519</v>
      </c>
      <c r="J23" s="90">
        <v>36</v>
      </c>
    </row>
    <row r="24" spans="3:10" ht="15.75" hidden="1">
      <c r="C24" s="155">
        <v>39630</v>
      </c>
      <c r="D24" s="88"/>
      <c r="E24" s="89"/>
      <c r="F24" s="89"/>
      <c r="G24" s="83">
        <v>25000</v>
      </c>
      <c r="H24" s="83" t="s">
        <v>55</v>
      </c>
      <c r="I24" s="89">
        <v>540</v>
      </c>
      <c r="J24" s="90">
        <v>36</v>
      </c>
    </row>
    <row r="25" spans="3:10" ht="15.75" hidden="1">
      <c r="C25" s="155">
        <v>39539</v>
      </c>
      <c r="D25" s="95"/>
      <c r="E25" s="96"/>
      <c r="F25" s="96"/>
      <c r="G25" s="96"/>
      <c r="H25" s="93" t="s">
        <v>56</v>
      </c>
      <c r="I25" s="96">
        <v>562</v>
      </c>
      <c r="J25" s="97" t="s">
        <v>18</v>
      </c>
    </row>
    <row r="26" ht="15.75" hidden="1">
      <c r="C26" s="155">
        <v>39448</v>
      </c>
    </row>
    <row r="27" ht="15.75" hidden="1">
      <c r="C27" s="156">
        <v>39356</v>
      </c>
    </row>
  </sheetData>
  <sheetProtection password="EBE6" sheet="1" objects="1" scenarios="1" selectLockedCells="1"/>
  <mergeCells count="4">
    <mergeCell ref="A1:E1"/>
    <mergeCell ref="H1:M1"/>
    <mergeCell ref="A2:G2"/>
    <mergeCell ref="H2:M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81" r:id="rId1"/>
  <headerFooter alignWithMargins="0">
    <oddHeader>&amp;C&amp;A</oddHeader>
    <oddFooter>&amp;LCGT-INRA&amp;CIntégration de TREX en TREX-NES&amp;R&amp;D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Sylvie</cp:lastModifiedBy>
  <cp:lastPrinted>2011-12-19T06:06:24Z</cp:lastPrinted>
  <dcterms:created xsi:type="dcterms:W3CDTF">2011-12-12T17:22:07Z</dcterms:created>
  <dcterms:modified xsi:type="dcterms:W3CDTF">2011-12-22T13:24:41Z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